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25" tabRatio="635" activeTab="0"/>
  </bookViews>
  <sheets>
    <sheet name="suplim OCT" sheetId="1" r:id="rId1"/>
  </sheets>
  <definedNames/>
  <calcPr fullCalcOnLoad="1"/>
</workbook>
</file>

<file path=xl/sharedStrings.xml><?xml version="1.0" encoding="utf-8"?>
<sst xmlns="http://schemas.openxmlformats.org/spreadsheetml/2006/main" count="121" uniqueCount="116">
  <si>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</si>
  <si>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</si>
  <si>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</si>
  <si>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</si>
  <si>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</si>
  <si>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</si>
  <si>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</si>
  <si>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</si>
  <si>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</si>
  <si>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</si>
  <si>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</si>
  <si>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</si>
  <si>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</si>
  <si>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</si>
  <si>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</si>
  <si>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</si>
  <si>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</si>
  <si>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</si>
  <si>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</si>
  <si>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</si>
  <si>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</si>
  <si>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</si>
  <si>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</si>
  <si>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</si>
  <si>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</si>
  <si>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</si>
  <si>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</si>
  <si>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</si>
  <si>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</si>
  <si>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</si>
  <si>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</si>
  <si>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</si>
  <si>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</si>
  <si>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</si>
  <si>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</si>
  <si>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</si>
  <si>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MUCOVISCIDOZA adulti</t>
  </si>
  <si>
    <t>TOTAL ONCOLOGIE (fara CV)</t>
  </si>
  <si>
    <t>Program national de supleere a functiei renale la bolnavii cu insuficienta renala cronica*)</t>
  </si>
  <si>
    <t xml:space="preserve">MEDICAMENTE (fara CV) = </t>
  </si>
  <si>
    <t>Contracte FPS</t>
  </si>
  <si>
    <t>DUCHENNE</t>
  </si>
  <si>
    <t>COST-VOLUM - spital</t>
  </si>
  <si>
    <t>TOTAL COST-VOLUM</t>
  </si>
  <si>
    <t>CONSUM IAN</t>
  </si>
  <si>
    <t>INTRARI IAN</t>
  </si>
  <si>
    <t>CONSUM FEB</t>
  </si>
  <si>
    <t>INTRARI FEB</t>
  </si>
  <si>
    <t>CONSUM MAR</t>
  </si>
  <si>
    <t>INTRARI MAR</t>
  </si>
  <si>
    <t>CONSUM TRIM I</t>
  </si>
  <si>
    <t>PNS ctr 1724 SPITAL JUDETEAN (cu CV) =</t>
  </si>
  <si>
    <t xml:space="preserve">PNS pt FARMACII (cu CV) = </t>
  </si>
  <si>
    <t>CONSUM APR</t>
  </si>
  <si>
    <t>INTRARI APR</t>
  </si>
  <si>
    <t>CONSUM MAI</t>
  </si>
  <si>
    <t>INTRARI MAI</t>
  </si>
  <si>
    <t>CONSUM IUN</t>
  </si>
  <si>
    <t>INTRARI IUN</t>
  </si>
  <si>
    <t>CONSUM TRIM II</t>
  </si>
  <si>
    <t>CONSUM IUL</t>
  </si>
  <si>
    <t>INTRARI IUL</t>
  </si>
  <si>
    <t>CONSUM AUG</t>
  </si>
  <si>
    <t>INTRARI AUG</t>
  </si>
  <si>
    <t>CONSUM SEP</t>
  </si>
  <si>
    <t>INTRARI SEP</t>
  </si>
  <si>
    <t>CONSUM TRIM III</t>
  </si>
  <si>
    <t>TOTAL GENERAL P.N.S. (fara DIAL, RED, HEMOGL)</t>
  </si>
  <si>
    <t>CREDIT DE ANGAJAMENT IANUARIE2019</t>
  </si>
  <si>
    <t>Medie lunara AN 2018</t>
  </si>
  <si>
    <t>Depasire CA/2018       (cand este cu +) (Nerealizari cu - )</t>
  </si>
  <si>
    <t>In stoc la 01.01.2019</t>
  </si>
  <si>
    <t>PLATI la spitale IAN2019</t>
  </si>
  <si>
    <t>PLATI la spitale FEB2019</t>
  </si>
  <si>
    <t>PLATI la spitale MAR2019</t>
  </si>
  <si>
    <t xml:space="preserve">INTRARI TRIM I </t>
  </si>
  <si>
    <t>PLATI la spitale TRIM I 2019</t>
  </si>
  <si>
    <t>DISPONIBIL din CA/spital - AN 2019</t>
  </si>
  <si>
    <t>DISPONIBIL din CA/farmacii -AN2019</t>
  </si>
  <si>
    <t>CREDIT DE ANGAJAMENT MARTIE2019</t>
  </si>
  <si>
    <t>CREDIT DE ANGAJAMENT FEBRUARIE 2019</t>
  </si>
  <si>
    <t>PLATI la spitale APR2019</t>
  </si>
  <si>
    <t>PLATI la spitale MAI2019</t>
  </si>
  <si>
    <t>PLATI la spitale IUN2019</t>
  </si>
  <si>
    <t xml:space="preserve">INTRARI TRIM II </t>
  </si>
  <si>
    <t>PLATI la spitale TRIM II 2019</t>
  </si>
  <si>
    <t>CA pt TRIM I 2019</t>
  </si>
  <si>
    <t>CA pt TRIM II 2019</t>
  </si>
  <si>
    <t>CA / APR2019</t>
  </si>
  <si>
    <t>CA / MAI2019</t>
  </si>
  <si>
    <t>CA / IUN2019</t>
  </si>
  <si>
    <t>Consum mediu lunar</t>
  </si>
  <si>
    <t>CA / 6luni 2019, din care:</t>
  </si>
  <si>
    <t>CA pt SEM II 2019</t>
  </si>
  <si>
    <t>CA - AN 2019</t>
  </si>
  <si>
    <t>TOTAL CONSUM 6luni</t>
  </si>
  <si>
    <t>TOTAL INTRARI 6 luni</t>
  </si>
  <si>
    <t>Depasire (+) / economie (-) CA / SEM 1</t>
  </si>
  <si>
    <t xml:space="preserve">TOTAL GENERAL = </t>
  </si>
  <si>
    <t>VENETIA MEDICAL / din 01 aug 2019 / ONCOLOGIE spital</t>
  </si>
  <si>
    <t xml:space="preserve">PNS SPITAL / ctr.1724 (cu CV) = </t>
  </si>
  <si>
    <t>TOTAL PLATI la spitale 6 luni</t>
  </si>
  <si>
    <t>PLATI la spitale IUL2019</t>
  </si>
  <si>
    <t>PLATI la spitale SEP2019</t>
  </si>
  <si>
    <t>PLATI la spitale AUG2019</t>
  </si>
  <si>
    <t xml:space="preserve">INTRARI TRIM III </t>
  </si>
  <si>
    <t>PLATI la spitale TRIM III 2019</t>
  </si>
  <si>
    <t>Consum VENETIA</t>
  </si>
  <si>
    <t>*) NOTA: suma de la DIALIZA si HEMOGLOBINA glicozilata nu este adunata la TOTAL MEDICAMENTE PNS</t>
  </si>
  <si>
    <t xml:space="preserve">TOTAL ONCO SP JUD     (cu CV) </t>
  </si>
  <si>
    <t xml:space="preserve">TOTAL MEDICAMENTE = </t>
  </si>
  <si>
    <t>FIBROZA pulmonara</t>
  </si>
  <si>
    <t>TOTAL CONSUM 9luni</t>
  </si>
  <si>
    <t>TOTAL INTRARI 9 luni</t>
  </si>
  <si>
    <t>TOTAL PLATI la spitale 9 luni</t>
  </si>
  <si>
    <t>STOC la 30.09.2019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</si>
</sst>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36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i/>
      <sz val="8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b/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6"/>
      <name val="Arial"/>
      <family val="2"/>
    </font>
    <font>
      <b/>
      <i/>
      <sz val="6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8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vertical="center"/>
    </xf>
    <xf numFmtId="4" fontId="0" fillId="0" borderId="19" xfId="0" applyNumberFormat="1" applyFill="1" applyBorder="1" applyAlignment="1">
      <alignment vertical="center"/>
    </xf>
    <xf numFmtId="4" fontId="0" fillId="0" borderId="20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22" xfId="0" applyNumberFormat="1" applyFill="1" applyBorder="1" applyAlignment="1">
      <alignment vertical="center"/>
    </xf>
    <xf numFmtId="0" fontId="9" fillId="0" borderId="23" xfId="0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1" fillId="5" borderId="2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vertical="center" wrapText="1"/>
    </xf>
    <xf numFmtId="4" fontId="10" fillId="0" borderId="0" xfId="0" applyNumberFormat="1" applyFont="1" applyFill="1" applyAlignment="1">
      <alignment/>
    </xf>
    <xf numFmtId="4" fontId="9" fillId="24" borderId="22" xfId="0" applyNumberFormat="1" applyFont="1" applyFill="1" applyBorder="1" applyAlignment="1">
      <alignment vertical="center" wrapText="1"/>
    </xf>
    <xf numFmtId="4" fontId="10" fillId="4" borderId="18" xfId="0" applyNumberFormat="1" applyFont="1" applyFill="1" applyBorder="1" applyAlignment="1">
      <alignment wrapText="1"/>
    </xf>
    <xf numFmtId="4" fontId="10" fillId="24" borderId="19" xfId="0" applyNumberFormat="1" applyFont="1" applyFill="1" applyBorder="1" applyAlignment="1">
      <alignment wrapText="1"/>
    </xf>
    <xf numFmtId="4" fontId="9" fillId="0" borderId="26" xfId="0" applyNumberFormat="1" applyFont="1" applyFill="1" applyBorder="1" applyAlignment="1">
      <alignment vertical="center" wrapText="1"/>
    </xf>
    <xf numFmtId="4" fontId="4" fillId="0" borderId="27" xfId="0" applyNumberFormat="1" applyFont="1" applyFill="1" applyBorder="1" applyAlignment="1">
      <alignment vertical="center"/>
    </xf>
    <xf numFmtId="4" fontId="0" fillId="4" borderId="18" xfId="0" applyNumberFormat="1" applyFont="1" applyFill="1" applyBorder="1" applyAlignment="1">
      <alignment wrapText="1"/>
    </xf>
    <xf numFmtId="4" fontId="0" fillId="24" borderId="19" xfId="0" applyNumberFormat="1" applyFont="1" applyFill="1" applyBorder="1" applyAlignment="1">
      <alignment wrapText="1"/>
    </xf>
    <xf numFmtId="4" fontId="10" fillId="0" borderId="21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 wrapText="1"/>
    </xf>
    <xf numFmtId="4" fontId="0" fillId="0" borderId="29" xfId="0" applyNumberFormat="1" applyFill="1" applyBorder="1" applyAlignment="1">
      <alignment vertical="center"/>
    </xf>
    <xf numFmtId="4" fontId="0" fillId="0" borderId="30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32" xfId="0" applyNumberFormat="1" applyFill="1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4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27" xfId="0" applyNumberFormat="1" applyFill="1" applyBorder="1" applyAlignment="1">
      <alignment vertical="center"/>
    </xf>
    <xf numFmtId="4" fontId="0" fillId="0" borderId="33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35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10" fillId="0" borderId="22" xfId="0" applyNumberFormat="1" applyFont="1" applyFill="1" applyBorder="1" applyAlignment="1">
      <alignment horizontal="center" vertical="center" wrapText="1"/>
    </xf>
    <xf numFmtId="4" fontId="4" fillId="25" borderId="22" xfId="0" applyNumberFormat="1" applyFont="1" applyFill="1" applyBorder="1" applyAlignment="1">
      <alignment vertical="center" wrapText="1"/>
    </xf>
    <xf numFmtId="4" fontId="4" fillId="25" borderId="22" xfId="0" applyNumberFormat="1" applyFont="1" applyFill="1" applyBorder="1" applyAlignment="1">
      <alignment vertical="center"/>
    </xf>
    <xf numFmtId="4" fontId="4" fillId="25" borderId="20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4" fillId="0" borderId="37" xfId="0" applyNumberFormat="1" applyFont="1" applyFill="1" applyBorder="1" applyAlignment="1">
      <alignment/>
    </xf>
    <xf numFmtId="0" fontId="9" fillId="24" borderId="38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wrapText="1"/>
    </xf>
    <xf numFmtId="4" fontId="4" fillId="25" borderId="40" xfId="0" applyNumberFormat="1" applyFont="1" applyFill="1" applyBorder="1" applyAlignment="1">
      <alignment vertical="center" wrapText="1"/>
    </xf>
    <xf numFmtId="4" fontId="4" fillId="25" borderId="40" xfId="0" applyNumberFormat="1" applyFont="1" applyFill="1" applyBorder="1" applyAlignment="1">
      <alignment vertical="center"/>
    </xf>
    <xf numFmtId="4" fontId="4" fillId="25" borderId="41" xfId="0" applyNumberFormat="1" applyFont="1" applyFill="1" applyBorder="1" applyAlignment="1">
      <alignment vertical="center"/>
    </xf>
    <xf numFmtId="4" fontId="4" fillId="25" borderId="38" xfId="0" applyNumberFormat="1" applyFont="1" applyFill="1" applyBorder="1" applyAlignment="1">
      <alignment vertical="center" wrapText="1"/>
    </xf>
    <xf numFmtId="4" fontId="4" fillId="25" borderId="38" xfId="0" applyNumberFormat="1" applyFont="1" applyFill="1" applyBorder="1" applyAlignment="1">
      <alignment vertical="center"/>
    </xf>
    <xf numFmtId="4" fontId="4" fillId="25" borderId="42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" fontId="0" fillId="0" borderId="43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20" borderId="4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2" fillId="0" borderId="45" xfId="0" applyNumberFormat="1" applyFont="1" applyFill="1" applyBorder="1" applyAlignment="1">
      <alignment vertical="center"/>
    </xf>
    <xf numFmtId="0" fontId="9" fillId="0" borderId="46" xfId="0" applyFont="1" applyFill="1" applyBorder="1" applyAlignment="1">
      <alignment horizontal="right" wrapText="1"/>
    </xf>
    <xf numFmtId="4" fontId="4" fillId="20" borderId="39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center" vertical="center"/>
    </xf>
    <xf numFmtId="4" fontId="0" fillId="0" borderId="27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right" wrapText="1"/>
    </xf>
    <xf numFmtId="3" fontId="4" fillId="20" borderId="47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4" fontId="9" fillId="20" borderId="26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 wrapText="1"/>
    </xf>
    <xf numFmtId="3" fontId="9" fillId="24" borderId="22" xfId="0" applyNumberFormat="1" applyFont="1" applyFill="1" applyBorder="1" applyAlignment="1">
      <alignment vertical="center" wrapText="1"/>
    </xf>
    <xf numFmtId="3" fontId="12" fillId="0" borderId="47" xfId="0" applyNumberFormat="1" applyFont="1" applyFill="1" applyBorder="1" applyAlignment="1">
      <alignment vertical="center"/>
    </xf>
    <xf numFmtId="3" fontId="12" fillId="0" borderId="42" xfId="0" applyNumberFormat="1" applyFont="1" applyFill="1" applyBorder="1" applyAlignment="1">
      <alignment vertical="center"/>
    </xf>
    <xf numFmtId="3" fontId="12" fillId="0" borderId="48" xfId="0" applyNumberFormat="1" applyFont="1" applyFill="1" applyBorder="1" applyAlignment="1">
      <alignment vertical="center"/>
    </xf>
    <xf numFmtId="3" fontId="12" fillId="3" borderId="47" xfId="0" applyNumberFormat="1" applyFont="1" applyFill="1" applyBorder="1" applyAlignment="1">
      <alignment vertical="center"/>
    </xf>
    <xf numFmtId="3" fontId="12" fillId="3" borderId="4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20" xfId="0" applyNumberFormat="1" applyFont="1" applyFill="1" applyBorder="1" applyAlignment="1">
      <alignment vertical="center"/>
    </xf>
    <xf numFmtId="3" fontId="4" fillId="25" borderId="22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4" fillId="5" borderId="22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20" borderId="26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0" fillId="4" borderId="18" xfId="0" applyNumberFormat="1" applyFont="1" applyFill="1" applyBorder="1" applyAlignment="1">
      <alignment wrapText="1"/>
    </xf>
    <xf numFmtId="3" fontId="0" fillId="24" borderId="19" xfId="0" applyNumberFormat="1" applyFont="1" applyFill="1" applyBorder="1" applyAlignment="1">
      <alignment wrapText="1"/>
    </xf>
    <xf numFmtId="3" fontId="4" fillId="0" borderId="26" xfId="0" applyNumberFormat="1" applyFont="1" applyFill="1" applyBorder="1" applyAlignment="1">
      <alignment vertical="center" wrapText="1"/>
    </xf>
    <xf numFmtId="3" fontId="4" fillId="24" borderId="2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4" fontId="9" fillId="25" borderId="38" xfId="0" applyNumberFormat="1" applyFont="1" applyFill="1" applyBorder="1" applyAlignment="1">
      <alignment vertical="center"/>
    </xf>
    <xf numFmtId="3" fontId="8" fillId="25" borderId="38" xfId="0" applyNumberFormat="1" applyFont="1" applyFill="1" applyBorder="1" applyAlignment="1">
      <alignment vertical="center"/>
    </xf>
    <xf numFmtId="3" fontId="8" fillId="3" borderId="38" xfId="0" applyNumberFormat="1" applyFont="1" applyFill="1" applyBorder="1" applyAlignment="1">
      <alignment vertical="center"/>
    </xf>
    <xf numFmtId="3" fontId="12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20" borderId="48" xfId="0" applyNumberFormat="1" applyFont="1" applyFill="1" applyBorder="1" applyAlignment="1">
      <alignment vertical="center"/>
    </xf>
    <xf numFmtId="3" fontId="4" fillId="4" borderId="18" xfId="0" applyNumberFormat="1" applyFont="1" applyFill="1" applyBorder="1" applyAlignment="1">
      <alignment wrapText="1"/>
    </xf>
    <xf numFmtId="3" fontId="4" fillId="24" borderId="19" xfId="0" applyNumberFormat="1" applyFont="1" applyFill="1" applyBorder="1" applyAlignment="1">
      <alignment wrapText="1"/>
    </xf>
    <xf numFmtId="3" fontId="4" fillId="20" borderId="49" xfId="0" applyNumberFormat="1" applyFont="1" applyFill="1" applyBorder="1" applyAlignment="1">
      <alignment vertical="center"/>
    </xf>
    <xf numFmtId="3" fontId="4" fillId="20" borderId="22" xfId="0" applyNumberFormat="1" applyFont="1" applyFill="1" applyBorder="1" applyAlignment="1">
      <alignment vertical="center"/>
    </xf>
    <xf numFmtId="4" fontId="0" fillId="0" borderId="39" xfId="0" applyNumberFormat="1" applyFill="1" applyBorder="1" applyAlignment="1">
      <alignment vertical="center"/>
    </xf>
    <xf numFmtId="4" fontId="12" fillId="0" borderId="0" xfId="0" applyNumberFormat="1" applyFont="1" applyFill="1" applyAlignment="1">
      <alignment/>
    </xf>
    <xf numFmtId="4" fontId="12" fillId="0" borderId="47" xfId="0" applyNumberFormat="1" applyFont="1" applyFill="1" applyBorder="1" applyAlignment="1">
      <alignment vertical="center"/>
    </xf>
    <xf numFmtId="4" fontId="12" fillId="0" borderId="42" xfId="0" applyNumberFormat="1" applyFont="1" applyFill="1" applyBorder="1" applyAlignment="1">
      <alignment vertical="center"/>
    </xf>
    <xf numFmtId="4" fontId="12" fillId="0" borderId="38" xfId="0" applyNumberFormat="1" applyFont="1" applyFill="1" applyBorder="1" applyAlignment="1">
      <alignment vertical="center"/>
    </xf>
    <xf numFmtId="4" fontId="8" fillId="25" borderId="38" xfId="0" applyNumberFormat="1" applyFont="1" applyFill="1" applyBorder="1" applyAlignment="1">
      <alignment vertical="center"/>
    </xf>
    <xf numFmtId="4" fontId="12" fillId="0" borderId="45" xfId="0" applyNumberFormat="1" applyFont="1" applyFill="1" applyBorder="1" applyAlignment="1">
      <alignment vertical="center"/>
    </xf>
    <xf numFmtId="4" fontId="12" fillId="0" borderId="48" xfId="0" applyNumberFormat="1" applyFon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3" fontId="4" fillId="25" borderId="26" xfId="0" applyNumberFormat="1" applyFont="1" applyFill="1" applyBorder="1" applyAlignment="1">
      <alignment vertical="center"/>
    </xf>
    <xf numFmtId="4" fontId="0" fillId="0" borderId="25" xfId="0" applyNumberFormat="1" applyFill="1" applyBorder="1" applyAlignment="1">
      <alignment vertical="center"/>
    </xf>
    <xf numFmtId="4" fontId="0" fillId="0" borderId="52" xfId="0" applyNumberForma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0" fontId="0" fillId="0" borderId="0" xfId="0" applyFill="1" applyAlignment="1">
      <alignment vertical="distributed"/>
    </xf>
    <xf numFmtId="4" fontId="0" fillId="0" borderId="15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3" fontId="4" fillId="0" borderId="54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4" fillId="25" borderId="36" xfId="0" applyNumberFormat="1" applyFont="1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4" fontId="12" fillId="0" borderId="57" xfId="0" applyNumberFormat="1" applyFont="1" applyFill="1" applyBorder="1" applyAlignment="1">
      <alignment vertical="center"/>
    </xf>
    <xf numFmtId="3" fontId="12" fillId="0" borderId="57" xfId="0" applyNumberFormat="1" applyFont="1" applyFill="1" applyBorder="1" applyAlignment="1">
      <alignment vertical="center"/>
    </xf>
    <xf numFmtId="4" fontId="0" fillId="0" borderId="58" xfId="0" applyNumberFormat="1" applyFill="1" applyBorder="1" applyAlignment="1">
      <alignment vertical="center"/>
    </xf>
    <xf numFmtId="4" fontId="0" fillId="0" borderId="59" xfId="0" applyNumberFormat="1" applyFill="1" applyBorder="1" applyAlignment="1">
      <alignment vertical="center"/>
    </xf>
    <xf numFmtId="4" fontId="0" fillId="0" borderId="60" xfId="0" applyNumberFormat="1" applyFill="1" applyBorder="1" applyAlignment="1">
      <alignment vertical="center"/>
    </xf>
    <xf numFmtId="4" fontId="0" fillId="0" borderId="61" xfId="0" applyNumberFormat="1" applyFill="1" applyBorder="1" applyAlignment="1">
      <alignment vertical="center"/>
    </xf>
    <xf numFmtId="0" fontId="32" fillId="0" borderId="0" xfId="0" applyFont="1" applyFill="1" applyAlignment="1">
      <alignment vertical="distributed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distributed"/>
    </xf>
    <xf numFmtId="4" fontId="9" fillId="25" borderId="17" xfId="0" applyNumberFormat="1" applyFont="1" applyFill="1" applyBorder="1" applyAlignment="1">
      <alignment vertical="center"/>
    </xf>
    <xf numFmtId="3" fontId="34" fillId="0" borderId="47" xfId="0" applyNumberFormat="1" applyFont="1" applyFill="1" applyBorder="1" applyAlignment="1">
      <alignment vertical="center"/>
    </xf>
    <xf numFmtId="3" fontId="34" fillId="0" borderId="42" xfId="0" applyNumberFormat="1" applyFont="1" applyFill="1" applyBorder="1" applyAlignment="1">
      <alignment vertical="center"/>
    </xf>
    <xf numFmtId="4" fontId="30" fillId="25" borderId="38" xfId="0" applyNumberFormat="1" applyFont="1" applyFill="1" applyBorder="1" applyAlignment="1">
      <alignment vertical="center"/>
    </xf>
    <xf numFmtId="3" fontId="34" fillId="0" borderId="38" xfId="0" applyNumberFormat="1" applyFont="1" applyFill="1" applyBorder="1" applyAlignment="1">
      <alignment vertical="center"/>
    </xf>
    <xf numFmtId="3" fontId="30" fillId="25" borderId="38" xfId="0" applyNumberFormat="1" applyFont="1" applyFill="1" applyBorder="1" applyAlignment="1">
      <alignment vertical="center"/>
    </xf>
    <xf numFmtId="3" fontId="34" fillId="0" borderId="45" xfId="0" applyNumberFormat="1" applyFont="1" applyFill="1" applyBorder="1" applyAlignment="1">
      <alignment vertical="center"/>
    </xf>
    <xf numFmtId="4" fontId="30" fillId="25" borderId="57" xfId="0" applyNumberFormat="1" applyFont="1" applyFill="1" applyBorder="1" applyAlignment="1">
      <alignment vertical="center"/>
    </xf>
    <xf numFmtId="3" fontId="34" fillId="0" borderId="48" xfId="0" applyNumberFormat="1" applyFont="1" applyFill="1" applyBorder="1" applyAlignment="1">
      <alignment vertical="center"/>
    </xf>
    <xf numFmtId="3" fontId="34" fillId="0" borderId="57" xfId="0" applyNumberFormat="1" applyFont="1" applyFill="1" applyBorder="1" applyAlignment="1">
      <alignment vertical="center"/>
    </xf>
    <xf numFmtId="4" fontId="30" fillId="20" borderId="26" xfId="0" applyNumberFormat="1" applyFont="1" applyFill="1" applyBorder="1" applyAlignment="1">
      <alignment vertical="center"/>
    </xf>
    <xf numFmtId="4" fontId="30" fillId="0" borderId="18" xfId="0" applyNumberFormat="1" applyFont="1" applyFill="1" applyBorder="1" applyAlignment="1">
      <alignment/>
    </xf>
    <xf numFmtId="4" fontId="30" fillId="0" borderId="37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4" fontId="34" fillId="4" borderId="18" xfId="0" applyNumberFormat="1" applyFont="1" applyFill="1" applyBorder="1" applyAlignment="1">
      <alignment wrapText="1"/>
    </xf>
    <xf numFmtId="4" fontId="34" fillId="24" borderId="19" xfId="0" applyNumberFormat="1" applyFont="1" applyFill="1" applyBorder="1" applyAlignment="1">
      <alignment wrapText="1"/>
    </xf>
    <xf numFmtId="4" fontId="30" fillId="0" borderId="26" xfId="0" applyNumberFormat="1" applyFont="1" applyFill="1" applyBorder="1" applyAlignment="1">
      <alignment vertical="center" wrapText="1"/>
    </xf>
    <xf numFmtId="4" fontId="30" fillId="24" borderId="22" xfId="0" applyNumberFormat="1" applyFont="1" applyFill="1" applyBorder="1" applyAlignment="1">
      <alignment vertical="center" wrapText="1"/>
    </xf>
    <xf numFmtId="3" fontId="34" fillId="0" borderId="0" xfId="0" applyNumberFormat="1" applyFont="1" applyFill="1" applyAlignment="1">
      <alignment horizontal="center" vertical="center"/>
    </xf>
    <xf numFmtId="3" fontId="34" fillId="0" borderId="0" xfId="0" applyNumberFormat="1" applyFont="1" applyFill="1" applyAlignment="1">
      <alignment/>
    </xf>
    <xf numFmtId="3" fontId="4" fillId="0" borderId="47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25" borderId="48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25" borderId="38" xfId="0" applyNumberFormat="1" applyFont="1" applyFill="1" applyBorder="1" applyAlignment="1">
      <alignment vertical="center"/>
    </xf>
    <xf numFmtId="4" fontId="8" fillId="25" borderId="48" xfId="0" applyNumberFormat="1" applyFont="1" applyFill="1" applyBorder="1" applyAlignment="1">
      <alignment vertical="center"/>
    </xf>
    <xf numFmtId="3" fontId="30" fillId="25" borderId="48" xfId="0" applyNumberFormat="1" applyFont="1" applyFill="1" applyBorder="1" applyAlignment="1">
      <alignment vertical="center"/>
    </xf>
    <xf numFmtId="3" fontId="8" fillId="25" borderId="48" xfId="0" applyNumberFormat="1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0" fillId="0" borderId="36" xfId="0" applyNumberFormat="1" applyFill="1" applyBorder="1" applyAlignment="1">
      <alignment vertical="center"/>
    </xf>
    <xf numFmtId="4" fontId="32" fillId="0" borderId="62" xfId="0" applyNumberFormat="1" applyFont="1" applyFill="1" applyBorder="1" applyAlignment="1">
      <alignment vertical="center"/>
    </xf>
    <xf numFmtId="4" fontId="32" fillId="0" borderId="63" xfId="0" applyNumberFormat="1" applyFont="1" applyFill="1" applyBorder="1" applyAlignment="1">
      <alignment vertical="center"/>
    </xf>
    <xf numFmtId="4" fontId="32" fillId="0" borderId="64" xfId="0" applyNumberFormat="1" applyFont="1" applyFill="1" applyBorder="1" applyAlignment="1">
      <alignment vertical="center"/>
    </xf>
    <xf numFmtId="4" fontId="32" fillId="0" borderId="56" xfId="0" applyNumberFormat="1" applyFont="1" applyFill="1" applyBorder="1" applyAlignment="1">
      <alignment vertical="center"/>
    </xf>
    <xf numFmtId="4" fontId="33" fillId="25" borderId="63" xfId="0" applyNumberFormat="1" applyFont="1" applyFill="1" applyBorder="1" applyAlignment="1">
      <alignment vertical="center"/>
    </xf>
    <xf numFmtId="3" fontId="4" fillId="4" borderId="47" xfId="0" applyNumberFormat="1" applyFont="1" applyFill="1" applyBorder="1" applyAlignment="1">
      <alignment vertical="center"/>
    </xf>
    <xf numFmtId="3" fontId="4" fillId="4" borderId="42" xfId="0" applyNumberFormat="1" applyFont="1" applyFill="1" applyBorder="1" applyAlignment="1">
      <alignment vertical="center"/>
    </xf>
    <xf numFmtId="3" fontId="4" fillId="4" borderId="22" xfId="0" applyNumberFormat="1" applyFont="1" applyFill="1" applyBorder="1" applyAlignment="1">
      <alignment vertical="center"/>
    </xf>
    <xf numFmtId="3" fontId="4" fillId="4" borderId="45" xfId="0" applyNumberFormat="1" applyFont="1" applyFill="1" applyBorder="1" applyAlignment="1">
      <alignment vertical="center"/>
    </xf>
    <xf numFmtId="3" fontId="4" fillId="4" borderId="38" xfId="0" applyNumberFormat="1" applyFont="1" applyFill="1" applyBorder="1" applyAlignment="1">
      <alignment vertical="center"/>
    </xf>
    <xf numFmtId="3" fontId="4" fillId="4" borderId="48" xfId="0" applyNumberFormat="1" applyFont="1" applyFill="1" applyBorder="1" applyAlignment="1">
      <alignment vertical="center"/>
    </xf>
    <xf numFmtId="3" fontId="4" fillId="4" borderId="65" xfId="0" applyNumberFormat="1" applyFont="1" applyFill="1" applyBorder="1" applyAlignment="1">
      <alignment vertical="center"/>
    </xf>
    <xf numFmtId="3" fontId="1" fillId="25" borderId="2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distributed"/>
    </xf>
    <xf numFmtId="4" fontId="4" fillId="0" borderId="29" xfId="0" applyNumberFormat="1" applyFont="1" applyFill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25" borderId="22" xfId="0" applyNumberFormat="1" applyFont="1" applyFill="1" applyBorder="1" applyAlignment="1">
      <alignment vertical="center" wrapText="1"/>
    </xf>
    <xf numFmtId="4" fontId="4" fillId="25" borderId="22" xfId="0" applyNumberFormat="1" applyFont="1" applyFill="1" applyBorder="1" applyAlignment="1">
      <alignment vertical="center"/>
    </xf>
    <xf numFmtId="4" fontId="4" fillId="25" borderId="36" xfId="0" applyNumberFormat="1" applyFont="1" applyFill="1" applyBorder="1" applyAlignment="1">
      <alignment vertical="center"/>
    </xf>
    <xf numFmtId="4" fontId="4" fillId="25" borderId="20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66" xfId="0" applyNumberFormat="1" applyFont="1" applyFill="1" applyBorder="1" applyAlignment="1">
      <alignment vertical="center"/>
    </xf>
    <xf numFmtId="4" fontId="4" fillId="0" borderId="67" xfId="0" applyNumberFormat="1" applyFont="1" applyFill="1" applyBorder="1" applyAlignment="1">
      <alignment vertical="center"/>
    </xf>
    <xf numFmtId="4" fontId="4" fillId="20" borderId="36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/>
    </xf>
    <xf numFmtId="3" fontId="4" fillId="0" borderId="65" xfId="0" applyNumberFormat="1" applyFont="1" applyFill="1" applyBorder="1" applyAlignment="1">
      <alignment vertical="center"/>
    </xf>
    <xf numFmtId="4" fontId="4" fillId="25" borderId="38" xfId="0" applyNumberFormat="1" applyFont="1" applyFill="1" applyBorder="1" applyAlignment="1">
      <alignment vertical="center" wrapText="1"/>
    </xf>
    <xf numFmtId="4" fontId="4" fillId="25" borderId="38" xfId="0" applyNumberFormat="1" applyFont="1" applyFill="1" applyBorder="1" applyAlignment="1">
      <alignment vertical="center"/>
    </xf>
    <xf numFmtId="4" fontId="4" fillId="25" borderId="57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0" borderId="44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4" fontId="4" fillId="0" borderId="43" xfId="0" applyNumberFormat="1" applyFont="1" applyFill="1" applyBorder="1" applyAlignment="1">
      <alignment vertical="center"/>
    </xf>
    <xf numFmtId="4" fontId="4" fillId="25" borderId="42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4" fontId="4" fillId="0" borderId="50" xfId="0" applyNumberFormat="1" applyFont="1" applyFill="1" applyBorder="1" applyAlignment="1">
      <alignment vertical="center"/>
    </xf>
    <xf numFmtId="4" fontId="4" fillId="0" borderId="51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vertical="center"/>
    </xf>
    <xf numFmtId="4" fontId="4" fillId="0" borderId="52" xfId="0" applyNumberFormat="1" applyFont="1" applyFill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58" xfId="0" applyNumberFormat="1" applyFont="1" applyFill="1" applyBorder="1" applyAlignment="1">
      <alignment vertical="center"/>
    </xf>
    <xf numFmtId="4" fontId="4" fillId="0" borderId="59" xfId="0" applyNumberFormat="1" applyFont="1" applyFill="1" applyBorder="1" applyAlignment="1">
      <alignment vertical="center"/>
    </xf>
    <xf numFmtId="4" fontId="4" fillId="0" borderId="60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/>
    </xf>
    <xf numFmtId="4" fontId="4" fillId="0" borderId="34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 vertical="center"/>
    </xf>
    <xf numFmtId="4" fontId="10" fillId="0" borderId="46" xfId="0" applyNumberFormat="1" applyFont="1" applyFill="1" applyBorder="1" applyAlignment="1">
      <alignment vertical="center"/>
    </xf>
    <xf numFmtId="4" fontId="0" fillId="0" borderId="54" xfId="0" applyNumberFormat="1" applyFill="1" applyBorder="1" applyAlignment="1">
      <alignment vertical="center"/>
    </xf>
    <xf numFmtId="4" fontId="0" fillId="0" borderId="45" xfId="0" applyNumberFormat="1" applyFill="1" applyBorder="1" applyAlignment="1">
      <alignment vertical="center"/>
    </xf>
    <xf numFmtId="4" fontId="0" fillId="0" borderId="38" xfId="0" applyNumberForma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4" fontId="0" fillId="0" borderId="42" xfId="0" applyNumberFormat="1" applyFill="1" applyBorder="1" applyAlignment="1">
      <alignment vertical="center"/>
    </xf>
    <xf numFmtId="4" fontId="0" fillId="0" borderId="48" xfId="0" applyNumberFormat="1" applyFill="1" applyBorder="1" applyAlignment="1">
      <alignment vertical="center"/>
    </xf>
    <xf numFmtId="4" fontId="0" fillId="0" borderId="57" xfId="0" applyNumberFormat="1" applyFill="1" applyBorder="1" applyAlignment="1">
      <alignment vertical="center"/>
    </xf>
    <xf numFmtId="3" fontId="4" fillId="0" borderId="68" xfId="0" applyNumberFormat="1" applyFont="1" applyFill="1" applyBorder="1" applyAlignment="1">
      <alignment vertical="center" wrapText="1"/>
    </xf>
    <xf numFmtId="4" fontId="4" fillId="25" borderId="40" xfId="0" applyNumberFormat="1" applyFont="1" applyFill="1" applyBorder="1" applyAlignment="1">
      <alignment vertical="center" wrapText="1"/>
    </xf>
    <xf numFmtId="4" fontId="4" fillId="25" borderId="40" xfId="0" applyNumberFormat="1" applyFont="1" applyFill="1" applyBorder="1" applyAlignment="1">
      <alignment vertical="center"/>
    </xf>
    <xf numFmtId="4" fontId="4" fillId="25" borderId="24" xfId="0" applyNumberFormat="1" applyFont="1" applyFill="1" applyBorder="1" applyAlignment="1">
      <alignment vertical="center"/>
    </xf>
    <xf numFmtId="4" fontId="9" fillId="20" borderId="48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distributed"/>
    </xf>
    <xf numFmtId="0" fontId="9" fillId="0" borderId="0" xfId="0" applyFont="1" applyFill="1" applyAlignment="1">
      <alignment/>
    </xf>
    <xf numFmtId="0" fontId="9" fillId="10" borderId="22" xfId="0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vertical="center"/>
    </xf>
    <xf numFmtId="4" fontId="10" fillId="0" borderId="33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25" borderId="22" xfId="0" applyNumberFormat="1" applyFont="1" applyFill="1" applyBorder="1" applyAlignment="1">
      <alignment vertical="center" wrapText="1"/>
    </xf>
    <xf numFmtId="4" fontId="9" fillId="25" borderId="38" xfId="0" applyNumberFormat="1" applyFont="1" applyFill="1" applyBorder="1" applyAlignment="1">
      <alignment vertical="center" wrapText="1"/>
    </xf>
    <xf numFmtId="4" fontId="9" fillId="20" borderId="20" xfId="0" applyNumberFormat="1" applyFont="1" applyFill="1" applyBorder="1" applyAlignment="1">
      <alignment vertical="center"/>
    </xf>
    <xf numFmtId="4" fontId="9" fillId="25" borderId="22" xfId="0" applyNumberFormat="1" applyFont="1" applyFill="1" applyBorder="1" applyAlignment="1">
      <alignment vertical="center"/>
    </xf>
    <xf numFmtId="4" fontId="9" fillId="25" borderId="38" xfId="0" applyNumberFormat="1" applyFont="1" applyFill="1" applyBorder="1" applyAlignment="1">
      <alignment vertical="center"/>
    </xf>
    <xf numFmtId="4" fontId="9" fillId="0" borderId="19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" fontId="9" fillId="25" borderId="37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4" fontId="9" fillId="0" borderId="26" xfId="0" applyNumberFormat="1" applyFont="1" applyFill="1" applyBorder="1" applyAlignment="1">
      <alignment vertical="center"/>
    </xf>
    <xf numFmtId="4" fontId="10" fillId="0" borderId="14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/>
    </xf>
    <xf numFmtId="3" fontId="9" fillId="4" borderId="18" xfId="0" applyNumberFormat="1" applyFont="1" applyFill="1" applyBorder="1" applyAlignment="1">
      <alignment wrapText="1"/>
    </xf>
    <xf numFmtId="3" fontId="9" fillId="4" borderId="54" xfId="0" applyNumberFormat="1" applyFont="1" applyFill="1" applyBorder="1" applyAlignment="1">
      <alignment wrapText="1"/>
    </xf>
    <xf numFmtId="3" fontId="9" fillId="24" borderId="19" xfId="0" applyNumberFormat="1" applyFont="1" applyFill="1" applyBorder="1" applyAlignment="1">
      <alignment wrapText="1"/>
    </xf>
    <xf numFmtId="3" fontId="9" fillId="24" borderId="45" xfId="0" applyNumberFormat="1" applyFont="1" applyFill="1" applyBorder="1" applyAlignment="1">
      <alignment wrapText="1"/>
    </xf>
    <xf numFmtId="3" fontId="9" fillId="0" borderId="48" xfId="0" applyNumberFormat="1" applyFont="1" applyFill="1" applyBorder="1" applyAlignment="1">
      <alignment vertical="center" wrapText="1"/>
    </xf>
    <xf numFmtId="3" fontId="9" fillId="24" borderId="38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distributed"/>
    </xf>
    <xf numFmtId="3" fontId="0" fillId="0" borderId="0" xfId="0" applyNumberFormat="1" applyFill="1" applyAlignment="1">
      <alignment vertical="distributed"/>
    </xf>
    <xf numFmtId="3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9" fillId="20" borderId="22" xfId="0" applyNumberFormat="1" applyFont="1" applyFill="1" applyBorder="1" applyAlignment="1">
      <alignment vertical="center"/>
    </xf>
    <xf numFmtId="3" fontId="9" fillId="20" borderId="49" xfId="0" applyNumberFormat="1" applyFont="1" applyFill="1" applyBorder="1" applyAlignment="1">
      <alignment vertical="center"/>
    </xf>
    <xf numFmtId="0" fontId="31" fillId="3" borderId="50" xfId="0" applyFont="1" applyFill="1" applyBorder="1" applyAlignment="1">
      <alignment wrapText="1"/>
    </xf>
    <xf numFmtId="4" fontId="9" fillId="3" borderId="50" xfId="0" applyNumberFormat="1" applyFont="1" applyFill="1" applyBorder="1" applyAlignment="1">
      <alignment/>
    </xf>
    <xf numFmtId="4" fontId="30" fillId="3" borderId="50" xfId="0" applyNumberFormat="1" applyFont="1" applyFill="1" applyBorder="1" applyAlignment="1">
      <alignment/>
    </xf>
    <xf numFmtId="4" fontId="8" fillId="3" borderId="50" xfId="0" applyNumberFormat="1" applyFont="1" applyFill="1" applyBorder="1" applyAlignment="1">
      <alignment/>
    </xf>
    <xf numFmtId="4" fontId="9" fillId="3" borderId="50" xfId="0" applyNumberFormat="1" applyFont="1" applyFill="1" applyBorder="1" applyAlignment="1">
      <alignment/>
    </xf>
    <xf numFmtId="0" fontId="1" fillId="0" borderId="6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horizontal="center" vertical="center" wrapText="1"/>
    </xf>
    <xf numFmtId="4" fontId="9" fillId="0" borderId="49" xfId="0" applyNumberFormat="1" applyFont="1" applyFill="1" applyBorder="1" applyAlignment="1">
      <alignment horizontal="center" vertical="center" wrapText="1"/>
    </xf>
    <xf numFmtId="3" fontId="30" fillId="0" borderId="49" xfId="0" applyNumberFormat="1" applyFont="1" applyFill="1" applyBorder="1" applyAlignment="1">
      <alignment horizontal="center" vertical="center" wrapText="1"/>
    </xf>
    <xf numFmtId="3" fontId="4" fillId="20" borderId="49" xfId="0" applyNumberFormat="1" applyFont="1" applyFill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horizontal="center" vertical="center" wrapText="1"/>
    </xf>
    <xf numFmtId="3" fontId="9" fillId="4" borderId="65" xfId="0" applyNumberFormat="1" applyFont="1" applyFill="1" applyBorder="1" applyAlignment="1">
      <alignment horizontal="center" vertical="center" wrapText="1"/>
    </xf>
    <xf numFmtId="3" fontId="9" fillId="4" borderId="49" xfId="0" applyNumberFormat="1" applyFont="1" applyFill="1" applyBorder="1" applyAlignment="1">
      <alignment horizontal="center" vertical="center" wrapText="1"/>
    </xf>
    <xf numFmtId="3" fontId="9" fillId="0" borderId="65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 wrapText="1"/>
    </xf>
    <xf numFmtId="4" fontId="0" fillId="0" borderId="53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 wrapText="1"/>
    </xf>
    <xf numFmtId="4" fontId="4" fillId="0" borderId="53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0" fontId="2" fillId="0" borderId="56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3" fontId="4" fillId="21" borderId="19" xfId="0" applyNumberFormat="1" applyFont="1" applyFill="1" applyBorder="1" applyAlignment="1">
      <alignment vertical="center"/>
    </xf>
    <xf numFmtId="3" fontId="8" fillId="22" borderId="19" xfId="0" applyNumberFormat="1" applyFont="1" applyFill="1" applyBorder="1" applyAlignment="1">
      <alignment vertical="center"/>
    </xf>
    <xf numFmtId="3" fontId="4" fillId="22" borderId="19" xfId="0" applyNumberFormat="1" applyFont="1" applyFill="1" applyBorder="1" applyAlignment="1">
      <alignment vertical="center"/>
    </xf>
    <xf numFmtId="3" fontId="8" fillId="22" borderId="45" xfId="0" applyNumberFormat="1" applyFont="1" applyFill="1" applyBorder="1" applyAlignment="1">
      <alignment vertical="center"/>
    </xf>
    <xf numFmtId="3" fontId="0" fillId="24" borderId="47" xfId="0" applyNumberFormat="1" applyFill="1" applyBorder="1" applyAlignment="1">
      <alignment vertical="center"/>
    </xf>
    <xf numFmtId="3" fontId="0" fillId="24" borderId="45" xfId="0" applyNumberFormat="1" applyFill="1" applyBorder="1" applyAlignment="1">
      <alignment vertical="center"/>
    </xf>
    <xf numFmtId="3" fontId="0" fillId="24" borderId="55" xfId="0" applyNumberFormat="1" applyFill="1" applyBorder="1" applyAlignment="1">
      <alignment vertical="center"/>
    </xf>
    <xf numFmtId="3" fontId="4" fillId="22" borderId="45" xfId="0" applyNumberFormat="1" applyFont="1" applyFill="1" applyBorder="1" applyAlignment="1">
      <alignment vertical="center"/>
    </xf>
    <xf numFmtId="4" fontId="4" fillId="20" borderId="25" xfId="0" applyNumberFormat="1" applyFont="1" applyFill="1" applyBorder="1" applyAlignment="1">
      <alignment horizontal="center" vertical="center" wrapText="1"/>
    </xf>
    <xf numFmtId="4" fontId="4" fillId="20" borderId="52" xfId="0" applyNumberFormat="1" applyFont="1" applyFill="1" applyBorder="1" applyAlignment="1">
      <alignment horizontal="center" vertical="center" wrapText="1"/>
    </xf>
    <xf numFmtId="4" fontId="4" fillId="20" borderId="16" xfId="0" applyNumberFormat="1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left" vertical="center"/>
    </xf>
    <xf numFmtId="4" fontId="4" fillId="26" borderId="56" xfId="0" applyNumberFormat="1" applyFont="1" applyFill="1" applyBorder="1" applyAlignment="1">
      <alignment horizontal="center" vertical="center"/>
    </xf>
    <xf numFmtId="3" fontId="4" fillId="26" borderId="4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vertical="center" wrapText="1"/>
    </xf>
    <xf numFmtId="4" fontId="4" fillId="0" borderId="38" xfId="0" applyNumberFormat="1" applyFont="1" applyFill="1" applyBorder="1" applyAlignment="1">
      <alignment vertical="center"/>
    </xf>
    <xf numFmtId="0" fontId="32" fillId="0" borderId="70" xfId="0" applyFont="1" applyFill="1" applyBorder="1" applyAlignment="1">
      <alignment horizontal="center" vertical="center" wrapText="1"/>
    </xf>
    <xf numFmtId="4" fontId="33" fillId="20" borderId="68" xfId="0" applyNumberFormat="1" applyFont="1" applyFill="1" applyBorder="1" applyAlignment="1">
      <alignment vertical="center"/>
    </xf>
    <xf numFmtId="3" fontId="4" fillId="4" borderId="71" xfId="0" applyNumberFormat="1" applyFont="1" applyFill="1" applyBorder="1" applyAlignment="1">
      <alignment wrapText="1"/>
    </xf>
    <xf numFmtId="3" fontId="4" fillId="24" borderId="72" xfId="0" applyNumberFormat="1" applyFont="1" applyFill="1" applyBorder="1" applyAlignment="1">
      <alignment wrapText="1"/>
    </xf>
    <xf numFmtId="3" fontId="4" fillId="0" borderId="49" xfId="0" applyNumberFormat="1" applyFont="1" applyFill="1" applyBorder="1" applyAlignment="1">
      <alignment vertical="center" wrapText="1"/>
    </xf>
    <xf numFmtId="4" fontId="4" fillId="0" borderId="31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4" fontId="4" fillId="0" borderId="46" xfId="0" applyNumberFormat="1" applyFont="1" applyFill="1" applyBorder="1" applyAlignment="1">
      <alignment vertical="center"/>
    </xf>
    <xf numFmtId="4" fontId="4" fillId="20" borderId="57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0" fontId="1" fillId="26" borderId="39" xfId="0" applyFont="1" applyFill="1" applyBorder="1" applyAlignment="1">
      <alignment/>
    </xf>
    <xf numFmtId="4" fontId="4" fillId="0" borderId="15" xfId="0" applyNumberFormat="1" applyFont="1" applyFill="1" applyBorder="1" applyAlignment="1">
      <alignment vertical="center"/>
    </xf>
    <xf numFmtId="4" fontId="4" fillId="0" borderId="13" xfId="0" applyNumberFormat="1" applyFont="1" applyFill="1" applyBorder="1" applyAlignment="1">
      <alignment vertical="center"/>
    </xf>
    <xf numFmtId="4" fontId="4" fillId="25" borderId="44" xfId="0" applyNumberFormat="1" applyFont="1" applyFill="1" applyBorder="1" applyAlignment="1">
      <alignment vertical="center" wrapText="1"/>
    </xf>
    <xf numFmtId="4" fontId="4" fillId="25" borderId="39" xfId="0" applyNumberFormat="1" applyFont="1" applyFill="1" applyBorder="1" applyAlignment="1">
      <alignment vertical="center" wrapText="1"/>
    </xf>
    <xf numFmtId="4" fontId="4" fillId="0" borderId="55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73" xfId="0" applyNumberFormat="1" applyFont="1" applyFill="1" applyBorder="1" applyAlignment="1">
      <alignment vertical="center"/>
    </xf>
    <xf numFmtId="4" fontId="4" fillId="0" borderId="74" xfId="0" applyNumberFormat="1" applyFont="1" applyFill="1" applyBorder="1" applyAlignment="1">
      <alignment vertical="center"/>
    </xf>
    <xf numFmtId="4" fontId="4" fillId="25" borderId="75" xfId="0" applyNumberFormat="1" applyFont="1" applyFill="1" applyBorder="1" applyAlignment="1">
      <alignment vertical="center" wrapText="1"/>
    </xf>
    <xf numFmtId="4" fontId="4" fillId="0" borderId="76" xfId="0" applyNumberFormat="1" applyFont="1" applyFill="1" applyBorder="1" applyAlignment="1">
      <alignment vertical="center"/>
    </xf>
    <xf numFmtId="4" fontId="4" fillId="25" borderId="56" xfId="0" applyNumberFormat="1" applyFont="1" applyFill="1" applyBorder="1" applyAlignment="1">
      <alignment vertical="center" wrapText="1"/>
    </xf>
    <xf numFmtId="4" fontId="4" fillId="25" borderId="56" xfId="0" applyNumberFormat="1" applyFont="1" applyFill="1" applyBorder="1" applyAlignment="1">
      <alignment vertical="center"/>
    </xf>
    <xf numFmtId="4" fontId="4" fillId="25" borderId="23" xfId="0" applyNumberFormat="1" applyFont="1" applyFill="1" applyBorder="1" applyAlignment="1">
      <alignment vertical="center"/>
    </xf>
    <xf numFmtId="4" fontId="4" fillId="0" borderId="77" xfId="0" applyNumberFormat="1" applyFont="1" applyFill="1" applyBorder="1" applyAlignment="1">
      <alignment vertical="center"/>
    </xf>
    <xf numFmtId="4" fontId="4" fillId="0" borderId="78" xfId="0" applyNumberFormat="1" applyFont="1" applyFill="1" applyBorder="1" applyAlignment="1">
      <alignment vertical="center"/>
    </xf>
    <xf numFmtId="4" fontId="4" fillId="0" borderId="75" xfId="0" applyNumberFormat="1" applyFont="1" applyFill="1" applyBorder="1" applyAlignment="1">
      <alignment vertical="center"/>
    </xf>
    <xf numFmtId="4" fontId="1" fillId="26" borderId="11" xfId="0" applyNumberFormat="1" applyFont="1" applyFill="1" applyBorder="1" applyAlignment="1">
      <alignment/>
    </xf>
    <xf numFmtId="4" fontId="1" fillId="26" borderId="44" xfId="0" applyNumberFormat="1" applyFont="1" applyFill="1" applyBorder="1" applyAlignment="1">
      <alignment/>
    </xf>
    <xf numFmtId="3" fontId="9" fillId="24" borderId="37" xfId="0" applyNumberFormat="1" applyFont="1" applyFill="1" applyBorder="1" applyAlignment="1">
      <alignment wrapText="1"/>
    </xf>
    <xf numFmtId="3" fontId="4" fillId="21" borderId="37" xfId="0" applyNumberFormat="1" applyFont="1" applyFill="1" applyBorder="1" applyAlignment="1">
      <alignment vertical="center"/>
    </xf>
    <xf numFmtId="3" fontId="9" fillId="20" borderId="49" xfId="0" applyNumberFormat="1" applyFont="1" applyFill="1" applyBorder="1" applyAlignment="1">
      <alignment vertical="center"/>
    </xf>
    <xf numFmtId="3" fontId="9" fillId="4" borderId="18" xfId="0" applyNumberFormat="1" applyFont="1" applyFill="1" applyBorder="1" applyAlignment="1">
      <alignment wrapText="1"/>
    </xf>
    <xf numFmtId="3" fontId="9" fillId="24" borderId="19" xfId="0" applyNumberFormat="1" applyFont="1" applyFill="1" applyBorder="1" applyAlignment="1">
      <alignment wrapText="1"/>
    </xf>
    <xf numFmtId="3" fontId="9" fillId="0" borderId="26" xfId="0" applyNumberFormat="1" applyFont="1" applyFill="1" applyBorder="1" applyAlignment="1">
      <alignment vertical="center" wrapText="1"/>
    </xf>
    <xf numFmtId="3" fontId="9" fillId="24" borderId="22" xfId="0" applyNumberFormat="1" applyFont="1" applyFill="1" applyBorder="1" applyAlignment="1">
      <alignment vertical="center" wrapText="1"/>
    </xf>
    <xf numFmtId="3" fontId="9" fillId="0" borderId="26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/>
    </xf>
    <xf numFmtId="4" fontId="0" fillId="0" borderId="28" xfId="0" applyNumberFormat="1" applyFont="1" applyFill="1" applyBorder="1" applyAlignment="1">
      <alignment vertical="center"/>
    </xf>
    <xf numFmtId="4" fontId="12" fillId="3" borderId="50" xfId="0" applyNumberFormat="1" applyFont="1" applyFill="1" applyBorder="1" applyAlignment="1">
      <alignment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50" xfId="0" applyNumberFormat="1" applyFont="1" applyFill="1" applyBorder="1" applyAlignment="1">
      <alignment vertical="center"/>
    </xf>
    <xf numFmtId="4" fontId="0" fillId="0" borderId="15" xfId="0" applyNumberFormat="1" applyFont="1" applyFill="1" applyBorder="1" applyAlignment="1">
      <alignment vertical="center"/>
    </xf>
    <xf numFmtId="4" fontId="0" fillId="25" borderId="38" xfId="0" applyNumberFormat="1" applyFont="1" applyFill="1" applyBorder="1" applyAlignment="1">
      <alignment vertical="center" wrapText="1"/>
    </xf>
    <xf numFmtId="4" fontId="0" fillId="25" borderId="11" xfId="0" applyNumberFormat="1" applyFont="1" applyFill="1" applyBorder="1" applyAlignment="1">
      <alignment vertical="center" wrapText="1"/>
    </xf>
    <xf numFmtId="4" fontId="0" fillId="25" borderId="12" xfId="0" applyNumberFormat="1" applyFont="1" applyFill="1" applyBorder="1" applyAlignment="1">
      <alignment vertical="center" wrapText="1"/>
    </xf>
    <xf numFmtId="4" fontId="0" fillId="0" borderId="33" xfId="0" applyNumberFormat="1" applyFont="1" applyFill="1" applyBorder="1" applyAlignment="1">
      <alignment vertical="center"/>
    </xf>
    <xf numFmtId="4" fontId="0" fillId="0" borderId="34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" fontId="0" fillId="25" borderId="38" xfId="0" applyNumberFormat="1" applyFont="1" applyFill="1" applyBorder="1" applyAlignment="1">
      <alignment vertical="center"/>
    </xf>
    <xf numFmtId="4" fontId="0" fillId="25" borderId="57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66" xfId="0" applyNumberFormat="1" applyFont="1" applyFill="1" applyBorder="1" applyAlignment="1">
      <alignment vertical="center"/>
    </xf>
    <xf numFmtId="4" fontId="0" fillId="0" borderId="46" xfId="0" applyNumberFormat="1" applyFont="1" applyFill="1" applyBorder="1" applyAlignment="1">
      <alignment vertical="center"/>
    </xf>
    <xf numFmtId="4" fontId="0" fillId="0" borderId="25" xfId="0" applyNumberFormat="1" applyFont="1" applyFill="1" applyBorder="1" applyAlignment="1">
      <alignment vertical="center"/>
    </xf>
    <xf numFmtId="4" fontId="0" fillId="0" borderId="52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11" xfId="0" applyNumberFormat="1" applyFont="1" applyFill="1" applyBorder="1" applyAlignment="1">
      <alignment vertical="center"/>
    </xf>
    <xf numFmtId="4" fontId="0" fillId="0" borderId="44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" fontId="0" fillId="20" borderId="57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 vertical="center" wrapText="1"/>
    </xf>
    <xf numFmtId="3" fontId="0" fillId="0" borderId="48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3" fontId="4" fillId="27" borderId="18" xfId="0" applyNumberFormat="1" applyFont="1" applyFill="1" applyBorder="1" applyAlignment="1">
      <alignment/>
    </xf>
    <xf numFmtId="3" fontId="4" fillId="27" borderId="37" xfId="0" applyNumberFormat="1" applyFont="1" applyFill="1" applyBorder="1" applyAlignment="1">
      <alignment/>
    </xf>
    <xf numFmtId="3" fontId="4" fillId="27" borderId="19" xfId="0" applyNumberFormat="1" applyFont="1" applyFill="1" applyBorder="1" applyAlignment="1">
      <alignment vertical="center"/>
    </xf>
    <xf numFmtId="4" fontId="0" fillId="0" borderId="27" xfId="0" applyNumberFormat="1" applyFont="1" applyFill="1" applyBorder="1" applyAlignment="1">
      <alignment vertical="center"/>
    </xf>
    <xf numFmtId="4" fontId="0" fillId="0" borderId="51" xfId="0" applyNumberFormat="1" applyFont="1" applyFill="1" applyBorder="1" applyAlignment="1">
      <alignment vertical="center"/>
    </xf>
    <xf numFmtId="4" fontId="0" fillId="25" borderId="39" xfId="0" applyNumberFormat="1" applyFont="1" applyFill="1" applyBorder="1" applyAlignment="1">
      <alignment vertical="center" wrapText="1"/>
    </xf>
    <xf numFmtId="4" fontId="0" fillId="0" borderId="43" xfId="0" applyNumberFormat="1" applyFont="1" applyFill="1" applyBorder="1" applyAlignment="1">
      <alignment vertical="center"/>
    </xf>
    <xf numFmtId="4" fontId="0" fillId="25" borderId="22" xfId="0" applyNumberFormat="1" applyFont="1" applyFill="1" applyBorder="1" applyAlignment="1">
      <alignment vertical="center" wrapText="1"/>
    </xf>
    <xf numFmtId="4" fontId="0" fillId="25" borderId="22" xfId="0" applyNumberFormat="1" applyFont="1" applyFill="1" applyBorder="1" applyAlignment="1">
      <alignment vertical="center"/>
    </xf>
    <xf numFmtId="4" fontId="0" fillId="25" borderId="36" xfId="0" applyNumberFormat="1" applyFont="1" applyFill="1" applyBorder="1" applyAlignment="1">
      <alignment vertical="center"/>
    </xf>
    <xf numFmtId="4" fontId="0" fillId="0" borderId="67" xfId="0" applyNumberFormat="1" applyFont="1" applyFill="1" applyBorder="1" applyAlignment="1">
      <alignment vertical="center"/>
    </xf>
    <xf numFmtId="4" fontId="0" fillId="0" borderId="53" xfId="0" applyNumberFormat="1" applyFont="1" applyFill="1" applyBorder="1" applyAlignment="1">
      <alignment vertical="center"/>
    </xf>
    <xf numFmtId="4" fontId="0" fillId="0" borderId="39" xfId="0" applyNumberFormat="1" applyFont="1" applyFill="1" applyBorder="1" applyAlignment="1">
      <alignment vertical="center"/>
    </xf>
    <xf numFmtId="3" fontId="0" fillId="0" borderId="49" xfId="0" applyNumberFormat="1" applyFont="1" applyFill="1" applyBorder="1" applyAlignment="1">
      <alignment vertical="center" wrapText="1"/>
    </xf>
    <xf numFmtId="3" fontId="4" fillId="0" borderId="40" xfId="0" applyNumberFormat="1" applyFont="1" applyFill="1" applyBorder="1" applyAlignment="1">
      <alignment/>
    </xf>
    <xf numFmtId="0" fontId="2" fillId="26" borderId="11" xfId="0" applyFont="1" applyFill="1" applyBorder="1" applyAlignment="1">
      <alignment/>
    </xf>
    <xf numFmtId="4" fontId="0" fillId="25" borderId="44" xfId="0" applyNumberFormat="1" applyFont="1" applyFill="1" applyBorder="1" applyAlignment="1">
      <alignment vertical="center" wrapText="1"/>
    </xf>
    <xf numFmtId="4" fontId="2" fillId="26" borderId="44" xfId="0" applyNumberFormat="1" applyFont="1" applyFill="1" applyBorder="1" applyAlignment="1">
      <alignment/>
    </xf>
    <xf numFmtId="4" fontId="2" fillId="26" borderId="39" xfId="0" applyNumberFormat="1" applyFont="1" applyFill="1" applyBorder="1" applyAlignment="1">
      <alignment/>
    </xf>
    <xf numFmtId="4" fontId="1" fillId="26" borderId="75" xfId="0" applyNumberFormat="1" applyFont="1" applyFill="1" applyBorder="1" applyAlignment="1">
      <alignment/>
    </xf>
    <xf numFmtId="4" fontId="1" fillId="26" borderId="12" xfId="0" applyNumberFormat="1" applyFont="1" applyFill="1" applyBorder="1" applyAlignment="1">
      <alignment/>
    </xf>
    <xf numFmtId="4" fontId="0" fillId="0" borderId="54" xfId="0" applyNumberFormat="1" applyFont="1" applyFill="1" applyBorder="1" applyAlignment="1">
      <alignment/>
    </xf>
    <xf numFmtId="4" fontId="4" fillId="0" borderId="54" xfId="0" applyNumberFormat="1" applyFont="1" applyFill="1" applyBorder="1" applyAlignment="1">
      <alignment/>
    </xf>
    <xf numFmtId="4" fontId="0" fillId="0" borderId="55" xfId="0" applyNumberFormat="1" applyFont="1" applyFill="1" applyBorder="1" applyAlignment="1">
      <alignment/>
    </xf>
    <xf numFmtId="4" fontId="4" fillId="0" borderId="55" xfId="0" applyNumberFormat="1" applyFont="1" applyFill="1" applyBorder="1" applyAlignment="1">
      <alignment/>
    </xf>
    <xf numFmtId="4" fontId="4" fillId="4" borderId="18" xfId="0" applyNumberFormat="1" applyFont="1" applyFill="1" applyBorder="1" applyAlignment="1">
      <alignment wrapText="1"/>
    </xf>
    <xf numFmtId="4" fontId="4" fillId="24" borderId="19" xfId="0" applyNumberFormat="1" applyFont="1" applyFill="1" applyBorder="1" applyAlignment="1">
      <alignment wrapText="1"/>
    </xf>
    <xf numFmtId="4" fontId="0" fillId="0" borderId="49" xfId="0" applyNumberFormat="1" applyFont="1" applyFill="1" applyBorder="1" applyAlignment="1">
      <alignment vertical="center" wrapText="1"/>
    </xf>
    <xf numFmtId="4" fontId="4" fillId="0" borderId="49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4" fillId="0" borderId="2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>
      <alignment horizontal="center" vertical="center"/>
    </xf>
    <xf numFmtId="4" fontId="11" fillId="26" borderId="56" xfId="0" applyNumberFormat="1" applyFont="1" applyFill="1" applyBorder="1" applyAlignment="1">
      <alignment/>
    </xf>
    <xf numFmtId="4" fontId="1" fillId="26" borderId="22" xfId="0" applyNumberFormat="1" applyFont="1" applyFill="1" applyBorder="1" applyAlignment="1">
      <alignment/>
    </xf>
    <xf numFmtId="4" fontId="9" fillId="4" borderId="38" xfId="0" applyNumberFormat="1" applyFont="1" applyFill="1" applyBorder="1" applyAlignment="1">
      <alignment horizontal="center" vertical="center" wrapText="1"/>
    </xf>
    <xf numFmtId="3" fontId="4" fillId="24" borderId="22" xfId="0" applyNumberFormat="1" applyFont="1" applyFill="1" applyBorder="1" applyAlignment="1">
      <alignment horizontal="center" vertical="center" wrapText="1"/>
    </xf>
    <xf numFmtId="4" fontId="31" fillId="26" borderId="36" xfId="0" applyNumberFormat="1" applyFont="1" applyFill="1" applyBorder="1" applyAlignment="1">
      <alignment/>
    </xf>
    <xf numFmtId="0" fontId="2" fillId="26" borderId="36" xfId="0" applyFont="1" applyFill="1" applyBorder="1" applyAlignment="1">
      <alignment/>
    </xf>
    <xf numFmtId="0" fontId="1" fillId="26" borderId="23" xfId="0" applyFont="1" applyFill="1" applyBorder="1" applyAlignment="1">
      <alignment/>
    </xf>
    <xf numFmtId="4" fontId="2" fillId="26" borderId="23" xfId="0" applyNumberFormat="1" applyFont="1" applyFill="1" applyBorder="1" applyAlignment="1">
      <alignment/>
    </xf>
    <xf numFmtId="3" fontId="1" fillId="26" borderId="36" xfId="0" applyNumberFormat="1" applyFont="1" applyFill="1" applyBorder="1" applyAlignment="1">
      <alignment/>
    </xf>
    <xf numFmtId="3" fontId="1" fillId="21" borderId="36" xfId="0" applyNumberFormat="1" applyFont="1" applyFill="1" applyBorder="1" applyAlignment="1">
      <alignment/>
    </xf>
    <xf numFmtId="3" fontId="4" fillId="21" borderId="21" xfId="0" applyNumberFormat="1" applyFont="1" applyFill="1" applyBorder="1" applyAlignment="1">
      <alignment vertical="center"/>
    </xf>
    <xf numFmtId="0" fontId="4" fillId="21" borderId="22" xfId="0" applyFont="1" applyFill="1" applyBorder="1" applyAlignment="1">
      <alignment horizontal="center" vertical="center" wrapText="1"/>
    </xf>
    <xf numFmtId="4" fontId="4" fillId="3" borderId="57" xfId="0" applyNumberFormat="1" applyFont="1" applyFill="1" applyBorder="1" applyAlignment="1">
      <alignment vertical="center"/>
    </xf>
    <xf numFmtId="4" fontId="9" fillId="25" borderId="36" xfId="0" applyNumberFormat="1" applyFont="1" applyFill="1" applyBorder="1" applyAlignment="1">
      <alignment vertical="center"/>
    </xf>
    <xf numFmtId="4" fontId="9" fillId="25" borderId="57" xfId="0" applyNumberFormat="1" applyFont="1" applyFill="1" applyBorder="1" applyAlignment="1">
      <alignment vertical="center"/>
    </xf>
    <xf numFmtId="4" fontId="9" fillId="25" borderId="22" xfId="0" applyNumberFormat="1" applyFont="1" applyFill="1" applyBorder="1" applyAlignment="1">
      <alignment vertical="center"/>
    </xf>
    <xf numFmtId="4" fontId="9" fillId="0" borderId="62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4" fontId="9" fillId="0" borderId="63" xfId="0" applyNumberFormat="1" applyFont="1" applyFill="1" applyBorder="1" applyAlignment="1">
      <alignment vertical="center"/>
    </xf>
    <xf numFmtId="4" fontId="9" fillId="0" borderId="33" xfId="0" applyNumberFormat="1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0" fontId="1" fillId="20" borderId="38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center" vertical="center" wrapText="1"/>
    </xf>
    <xf numFmtId="0" fontId="9" fillId="24" borderId="38" xfId="0" applyFont="1" applyFill="1" applyBorder="1" applyAlignment="1">
      <alignment horizontal="center" vertical="center" wrapText="1"/>
    </xf>
    <xf numFmtId="0" fontId="9" fillId="24" borderId="75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 wrapText="1"/>
    </xf>
    <xf numFmtId="0" fontId="1" fillId="5" borderId="48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5" fillId="26" borderId="38" xfId="0" applyFont="1" applyFill="1" applyBorder="1" applyAlignment="1">
      <alignment horizontal="center" vertical="center" wrapText="1"/>
    </xf>
    <xf numFmtId="0" fontId="5" fillId="26" borderId="56" xfId="0" applyFont="1" applyFill="1" applyBorder="1" applyAlignment="1">
      <alignment horizontal="center" vertical="center" wrapText="1"/>
    </xf>
    <xf numFmtId="4" fontId="4" fillId="4" borderId="38" xfId="0" applyNumberFormat="1" applyFont="1" applyFill="1" applyBorder="1" applyAlignment="1">
      <alignment horizontal="center" wrapText="1"/>
    </xf>
    <xf numFmtId="4" fontId="4" fillId="4" borderId="40" xfId="0" applyNumberFormat="1" applyFont="1" applyFill="1" applyBorder="1" applyAlignment="1">
      <alignment horizontal="center" wrapText="1"/>
    </xf>
    <xf numFmtId="0" fontId="1" fillId="20" borderId="57" xfId="0" applyFont="1" applyFill="1" applyBorder="1" applyAlignment="1">
      <alignment horizontal="center" vertical="center" wrapText="1"/>
    </xf>
    <xf numFmtId="0" fontId="1" fillId="20" borderId="23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20" borderId="5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20" borderId="58" xfId="0" applyFont="1" applyFill="1" applyBorder="1" applyAlignment="1">
      <alignment horizontal="center" vertical="center" wrapText="1"/>
    </xf>
    <xf numFmtId="0" fontId="1" fillId="20" borderId="61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right"/>
    </xf>
    <xf numFmtId="0" fontId="9" fillId="0" borderId="56" xfId="0" applyFont="1" applyFill="1" applyBorder="1" applyAlignment="1">
      <alignment horizontal="right"/>
    </xf>
    <xf numFmtId="0" fontId="1" fillId="26" borderId="56" xfId="0" applyFont="1" applyFill="1" applyBorder="1" applyAlignment="1">
      <alignment horizontal="center"/>
    </xf>
    <xf numFmtId="0" fontId="1" fillId="26" borderId="40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distributed"/>
    </xf>
    <xf numFmtId="4" fontId="1" fillId="26" borderId="38" xfId="0" applyNumberFormat="1" applyFont="1" applyFill="1" applyBorder="1" applyAlignment="1">
      <alignment horizontal="left" wrapText="1"/>
    </xf>
    <xf numFmtId="0" fontId="1" fillId="26" borderId="5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9"/>
  <sheetViews>
    <sheetView tabSelected="1" workbookViewId="0" topLeftCell="A1">
      <selection activeCell="BL4" sqref="BL4"/>
    </sheetView>
  </sheetViews>
  <sheetFormatPr defaultColWidth="9.140625" defaultRowHeight="12.75"/>
  <cols>
    <col min="1" max="1" width="12.140625" style="11" customWidth="1"/>
    <col min="2" max="2" width="22.7109375" style="12" customWidth="1"/>
    <col min="3" max="3" width="11.28125" style="127" customWidth="1"/>
    <col min="4" max="4" width="7.421875" style="180" hidden="1" customWidth="1"/>
    <col min="5" max="5" width="9.7109375" style="86" hidden="1" customWidth="1"/>
    <col min="6" max="6" width="11.28125" style="100" hidden="1" customWidth="1"/>
    <col min="7" max="8" width="11.7109375" style="100" hidden="1" customWidth="1"/>
    <col min="9" max="9" width="10.7109375" style="100" hidden="1" customWidth="1"/>
    <col min="10" max="11" width="11.28125" style="100" hidden="1" customWidth="1"/>
    <col min="12" max="12" width="11.140625" style="100" hidden="1" customWidth="1"/>
    <col min="13" max="13" width="11.00390625" style="100" hidden="1" customWidth="1"/>
    <col min="14" max="14" width="11.28125" style="100" hidden="1" customWidth="1"/>
    <col min="15" max="15" width="11.7109375" style="18" hidden="1" customWidth="1"/>
    <col min="16" max="16" width="10.140625" style="18" hidden="1" customWidth="1"/>
    <col min="17" max="18" width="11.7109375" style="18" hidden="1" customWidth="1"/>
    <col min="19" max="20" width="10.140625" style="18" hidden="1" customWidth="1"/>
    <col min="21" max="21" width="11.7109375" style="18" hidden="1" customWidth="1"/>
    <col min="22" max="22" width="10.140625" style="18" hidden="1" customWidth="1"/>
    <col min="23" max="23" width="11.7109375" style="18" hidden="1" customWidth="1"/>
    <col min="24" max="24" width="12.7109375" style="19" hidden="1" customWidth="1"/>
    <col min="25" max="26" width="11.7109375" style="19" hidden="1" customWidth="1"/>
    <col min="27" max="28" width="11.7109375" style="18" hidden="1" customWidth="1"/>
    <col min="29" max="29" width="10.140625" style="18" hidden="1" customWidth="1"/>
    <col min="30" max="30" width="11.7109375" style="18" hidden="1" customWidth="1"/>
    <col min="31" max="31" width="11.8515625" style="18" hidden="1" customWidth="1"/>
    <col min="32" max="32" width="10.140625" style="18" hidden="1" customWidth="1"/>
    <col min="33" max="33" width="11.7109375" style="18" hidden="1" customWidth="1"/>
    <col min="34" max="35" width="10.140625" style="18" hidden="1" customWidth="1"/>
    <col min="36" max="36" width="12.7109375" style="19" hidden="1" customWidth="1"/>
    <col min="37" max="38" width="11.7109375" style="19" hidden="1" customWidth="1"/>
    <col min="39" max="39" width="1.7109375" style="7" hidden="1" customWidth="1"/>
    <col min="40" max="40" width="12.7109375" style="6" hidden="1" customWidth="1"/>
    <col min="41" max="42" width="11.7109375" style="6" hidden="1" customWidth="1"/>
    <col min="43" max="46" width="11.7109375" style="8" hidden="1" customWidth="1"/>
    <col min="47" max="47" width="11.421875" style="29" hidden="1" customWidth="1"/>
    <col min="48" max="48" width="11.7109375" style="29" hidden="1" customWidth="1"/>
    <col min="49" max="49" width="12.00390625" style="19" hidden="1" customWidth="1"/>
    <col min="50" max="50" width="11.57421875" style="19" hidden="1" customWidth="1"/>
    <col min="51" max="51" width="10.140625" style="19" hidden="1" customWidth="1"/>
    <col min="52" max="52" width="12.7109375" style="19" hidden="1" customWidth="1"/>
    <col min="53" max="53" width="11.7109375" style="19" hidden="1" customWidth="1"/>
    <col min="54" max="54" width="11.7109375" style="6" hidden="1" customWidth="1"/>
    <col min="55" max="55" width="13.8515625" style="6" customWidth="1"/>
    <col min="56" max="56" width="11.7109375" style="6" customWidth="1"/>
    <col min="57" max="57" width="11.8515625" style="6" customWidth="1"/>
    <col min="58" max="58" width="9.8515625" style="158" customWidth="1"/>
    <col min="59" max="59" width="9.8515625" style="72" customWidth="1"/>
    <col min="60" max="60" width="11.140625" style="72" customWidth="1"/>
    <col min="61" max="61" width="11.28125" style="260" hidden="1" customWidth="1"/>
    <col min="62" max="62" width="10.00390625" style="34" customWidth="1"/>
    <col min="63" max="63" width="11.00390625" style="285" hidden="1" customWidth="1"/>
    <col min="64" max="64" width="13.421875" style="6" customWidth="1"/>
    <col min="65" max="16384" width="9.140625" style="7" customWidth="1"/>
  </cols>
  <sheetData>
    <row r="1" spans="1:64" s="143" customFormat="1" ht="26.25" customHeight="1">
      <c r="A1" s="483" t="s">
        <v>1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  <c r="Z1" s="483"/>
      <c r="AA1" s="483"/>
      <c r="AB1" s="483"/>
      <c r="AC1" s="483"/>
      <c r="AD1" s="483"/>
      <c r="AE1" s="483"/>
      <c r="AF1" s="483"/>
      <c r="AG1" s="483"/>
      <c r="AH1" s="483"/>
      <c r="AI1" s="483"/>
      <c r="AJ1" s="483"/>
      <c r="AK1" s="483"/>
      <c r="AL1" s="483"/>
      <c r="AM1" s="483"/>
      <c r="AN1" s="483"/>
      <c r="AO1" s="483"/>
      <c r="AP1" s="483"/>
      <c r="AQ1" s="483"/>
      <c r="AR1" s="483"/>
      <c r="AS1" s="483"/>
      <c r="AT1" s="483"/>
      <c r="AU1" s="483"/>
      <c r="AV1" s="483"/>
      <c r="AW1" s="483"/>
      <c r="AX1" s="483"/>
      <c r="AY1" s="483"/>
      <c r="AZ1" s="483"/>
      <c r="BA1" s="483"/>
      <c r="BB1" s="483"/>
      <c r="BC1" s="483"/>
      <c r="BD1" s="208"/>
      <c r="BE1" s="208"/>
      <c r="BF1" s="157"/>
      <c r="BG1" s="160"/>
      <c r="BH1" s="160"/>
      <c r="BI1" s="259"/>
      <c r="BJ1" s="283"/>
      <c r="BK1" s="284"/>
      <c r="BL1" s="208"/>
    </row>
    <row r="2" spans="2:63" ht="24" customHeight="1" thickBot="1">
      <c r="B2" s="289" t="s">
        <v>109</v>
      </c>
      <c r="C2" s="290">
        <f>C5+C9</f>
        <v>2463905.44</v>
      </c>
      <c r="D2" s="291"/>
      <c r="E2" s="292"/>
      <c r="F2" s="292">
        <f aca="true" t="shared" si="0" ref="F2:AL2">F5+F9</f>
        <v>5389000</v>
      </c>
      <c r="G2" s="292">
        <f t="shared" si="0"/>
        <v>827000</v>
      </c>
      <c r="H2" s="292">
        <f t="shared" si="0"/>
        <v>827000</v>
      </c>
      <c r="I2" s="292">
        <f t="shared" si="0"/>
        <v>827000</v>
      </c>
      <c r="J2" s="292">
        <f t="shared" si="0"/>
        <v>2481000</v>
      </c>
      <c r="K2" s="292">
        <f t="shared" si="0"/>
        <v>2908000</v>
      </c>
      <c r="L2" s="292">
        <f t="shared" si="0"/>
        <v>908000</v>
      </c>
      <c r="M2" s="292">
        <f t="shared" si="0"/>
        <v>908000</v>
      </c>
      <c r="N2" s="292">
        <f t="shared" si="0"/>
        <v>1092000</v>
      </c>
      <c r="O2" s="292">
        <f t="shared" si="0"/>
        <v>957245.3999999999</v>
      </c>
      <c r="P2" s="292">
        <f t="shared" si="0"/>
        <v>315250.35</v>
      </c>
      <c r="Q2" s="292">
        <f t="shared" si="0"/>
        <v>1231958.84</v>
      </c>
      <c r="R2" s="292">
        <f t="shared" si="0"/>
        <v>875848.5599999999</v>
      </c>
      <c r="S2" s="292">
        <f t="shared" si="0"/>
        <v>364782.29</v>
      </c>
      <c r="T2" s="292">
        <f t="shared" si="0"/>
        <v>426182.04</v>
      </c>
      <c r="U2" s="292">
        <f t="shared" si="0"/>
        <v>888603.0700000001</v>
      </c>
      <c r="V2" s="292">
        <f t="shared" si="0"/>
        <v>845709.1299999999</v>
      </c>
      <c r="W2" s="292">
        <f t="shared" si="0"/>
        <v>1198394.3900000001</v>
      </c>
      <c r="X2" s="292">
        <f t="shared" si="0"/>
        <v>2721697.0300000003</v>
      </c>
      <c r="Y2" s="292">
        <f t="shared" si="0"/>
        <v>1525741.7699999998</v>
      </c>
      <c r="Z2" s="292">
        <f t="shared" si="0"/>
        <v>2856535.27</v>
      </c>
      <c r="AA2" s="292">
        <f t="shared" si="0"/>
        <v>852935.5900000001</v>
      </c>
      <c r="AB2" s="292">
        <f t="shared" si="0"/>
        <v>1582459.6400000001</v>
      </c>
      <c r="AC2" s="292">
        <f t="shared" si="0"/>
        <v>371956.88</v>
      </c>
      <c r="AD2" s="292">
        <f t="shared" si="0"/>
        <v>1261953.1800000002</v>
      </c>
      <c r="AE2" s="292">
        <f t="shared" si="0"/>
        <v>1727979.1400000001</v>
      </c>
      <c r="AF2" s="292">
        <f t="shared" si="0"/>
        <v>528484.11</v>
      </c>
      <c r="AG2" s="292">
        <f t="shared" si="0"/>
        <v>919260.06</v>
      </c>
      <c r="AH2" s="292">
        <f t="shared" si="0"/>
        <v>368658.19</v>
      </c>
      <c r="AI2" s="292">
        <f t="shared" si="0"/>
        <v>836032.9299999999</v>
      </c>
      <c r="AJ2" s="292">
        <f t="shared" si="0"/>
        <v>3034148.83</v>
      </c>
      <c r="AK2" s="292">
        <f t="shared" si="0"/>
        <v>3679096.9699999997</v>
      </c>
      <c r="AL2" s="292">
        <f t="shared" si="0"/>
        <v>1736473.92</v>
      </c>
      <c r="AM2" s="292"/>
      <c r="AN2" s="292">
        <f aca="true" t="shared" si="1" ref="AN2:BE2">AN5+AN9</f>
        <v>5755845.859999999</v>
      </c>
      <c r="AO2" s="292">
        <f t="shared" si="1"/>
        <v>5204838.739999999</v>
      </c>
      <c r="AP2" s="292">
        <f t="shared" si="1"/>
        <v>4593009.19</v>
      </c>
      <c r="AQ2" s="371">
        <f t="shared" si="1"/>
        <v>1095909.6</v>
      </c>
      <c r="AR2" s="371">
        <f t="shared" si="1"/>
        <v>1509674.95</v>
      </c>
      <c r="AS2" s="371">
        <f t="shared" si="1"/>
        <v>1638411.79</v>
      </c>
      <c r="AT2" s="371">
        <f t="shared" si="1"/>
        <v>1097605.22</v>
      </c>
      <c r="AU2" s="371">
        <f t="shared" si="1"/>
        <v>659563.27</v>
      </c>
      <c r="AV2" s="371">
        <f t="shared" si="1"/>
        <v>1524040.4500000002</v>
      </c>
      <c r="AW2" s="292">
        <f t="shared" si="1"/>
        <v>928862.1599999999</v>
      </c>
      <c r="AX2" s="292">
        <f t="shared" si="1"/>
        <v>1441840.27</v>
      </c>
      <c r="AY2" s="292">
        <f t="shared" si="1"/>
        <v>432469.14</v>
      </c>
      <c r="AZ2" s="292">
        <f t="shared" si="1"/>
        <v>3122376.9799999995</v>
      </c>
      <c r="BA2" s="292">
        <f t="shared" si="1"/>
        <v>3611078.49</v>
      </c>
      <c r="BB2" s="292">
        <f t="shared" si="1"/>
        <v>3594921.3800000004</v>
      </c>
      <c r="BC2" s="292">
        <f t="shared" si="1"/>
        <v>8878222.84</v>
      </c>
      <c r="BD2" s="292">
        <f t="shared" si="1"/>
        <v>8815917.23</v>
      </c>
      <c r="BE2" s="292">
        <f t="shared" si="1"/>
        <v>8187930.57</v>
      </c>
      <c r="BF2" s="292"/>
      <c r="BG2" s="293">
        <f>BG5+BG9</f>
        <v>1599752.7700000005</v>
      </c>
      <c r="BH2" s="293">
        <f>BH5+BH9</f>
        <v>0</v>
      </c>
      <c r="BI2" s="293">
        <f>BI5+BI9</f>
        <v>-184161.26000000036</v>
      </c>
      <c r="BJ2" s="293">
        <f>BJ5+BJ9</f>
        <v>986469.2044444443</v>
      </c>
      <c r="BK2" s="293">
        <f>BK5+BK9</f>
        <v>3362000</v>
      </c>
    </row>
    <row r="3" spans="1:64" s="286" customFormat="1" ht="30.75" customHeight="1" thickBot="1">
      <c r="A3" s="484" t="s">
        <v>99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  <c r="O3" s="485"/>
      <c r="P3" s="485"/>
      <c r="Q3" s="485"/>
      <c r="R3" s="311"/>
      <c r="S3" s="311"/>
      <c r="T3" s="311"/>
      <c r="U3" s="311"/>
      <c r="V3" s="311"/>
      <c r="W3" s="311"/>
      <c r="X3" s="312"/>
      <c r="Y3" s="312"/>
      <c r="Z3" s="312"/>
      <c r="AA3" s="311"/>
      <c r="AB3" s="311"/>
      <c r="AC3" s="311"/>
      <c r="AD3" s="311"/>
      <c r="AE3" s="311"/>
      <c r="AF3" s="311"/>
      <c r="AG3" s="311"/>
      <c r="AH3" s="311"/>
      <c r="AI3" s="311"/>
      <c r="AJ3" s="312"/>
      <c r="AK3" s="312"/>
      <c r="AL3" s="312"/>
      <c r="AM3" s="311"/>
      <c r="AN3" s="312"/>
      <c r="AO3" s="312"/>
      <c r="AP3" s="480" t="s">
        <v>107</v>
      </c>
      <c r="AQ3" s="480"/>
      <c r="AR3" s="480"/>
      <c r="AS3" s="481"/>
      <c r="AT3" s="418">
        <v>74.73</v>
      </c>
      <c r="AU3" s="420">
        <v>48756.23</v>
      </c>
      <c r="AV3" s="421"/>
      <c r="AW3" s="422">
        <v>4499.87</v>
      </c>
      <c r="AX3" s="360">
        <v>110316.63</v>
      </c>
      <c r="AY3" s="423"/>
      <c r="AZ3" s="359">
        <f>AT3+AW3</f>
        <v>4574.599999999999</v>
      </c>
      <c r="BA3" s="360">
        <f>AU3+AX3</f>
        <v>159072.86000000002</v>
      </c>
      <c r="BB3" s="341"/>
      <c r="BC3" s="359">
        <f>AZ3</f>
        <v>4574.599999999999</v>
      </c>
      <c r="BD3" s="423">
        <f>BA3</f>
        <v>159072.86000000002</v>
      </c>
      <c r="BE3" s="436">
        <f>BB3</f>
        <v>0</v>
      </c>
      <c r="BF3" s="435">
        <f>0+BD3-BC3</f>
        <v>154498.26</v>
      </c>
      <c r="BG3" s="439">
        <f>BK3-BD3</f>
        <v>132817.13999999998</v>
      </c>
      <c r="BH3" s="440"/>
      <c r="BI3" s="441"/>
      <c r="BJ3" s="442"/>
      <c r="BK3" s="443">
        <v>291890</v>
      </c>
      <c r="BL3" s="444">
        <f>BK3</f>
        <v>291890</v>
      </c>
    </row>
    <row r="4" spans="1:64" s="11" customFormat="1" ht="56.25" customHeight="1" thickBot="1">
      <c r="A4" s="294" t="s">
        <v>2</v>
      </c>
      <c r="B4" s="295" t="s">
        <v>3</v>
      </c>
      <c r="C4" s="296" t="s">
        <v>71</v>
      </c>
      <c r="D4" s="297" t="s">
        <v>69</v>
      </c>
      <c r="E4" s="297" t="s">
        <v>70</v>
      </c>
      <c r="F4" s="298" t="s">
        <v>92</v>
      </c>
      <c r="G4" s="299" t="s">
        <v>68</v>
      </c>
      <c r="H4" s="299" t="s">
        <v>80</v>
      </c>
      <c r="I4" s="299" t="s">
        <v>79</v>
      </c>
      <c r="J4" s="300" t="s">
        <v>86</v>
      </c>
      <c r="K4" s="301" t="s">
        <v>87</v>
      </c>
      <c r="L4" s="302" t="s">
        <v>88</v>
      </c>
      <c r="M4" s="302" t="s">
        <v>89</v>
      </c>
      <c r="N4" s="299" t="s">
        <v>90</v>
      </c>
      <c r="O4" s="303" t="s">
        <v>44</v>
      </c>
      <c r="P4" s="304" t="s">
        <v>45</v>
      </c>
      <c r="Q4" s="305" t="s">
        <v>72</v>
      </c>
      <c r="R4" s="303" t="s">
        <v>46</v>
      </c>
      <c r="S4" s="304" t="s">
        <v>47</v>
      </c>
      <c r="T4" s="305" t="s">
        <v>73</v>
      </c>
      <c r="U4" s="303" t="s">
        <v>48</v>
      </c>
      <c r="V4" s="304" t="s">
        <v>49</v>
      </c>
      <c r="W4" s="305" t="s">
        <v>74</v>
      </c>
      <c r="X4" s="306" t="s">
        <v>50</v>
      </c>
      <c r="Y4" s="307" t="s">
        <v>75</v>
      </c>
      <c r="Z4" s="308" t="s">
        <v>76</v>
      </c>
      <c r="AA4" s="303" t="s">
        <v>53</v>
      </c>
      <c r="AB4" s="309" t="s">
        <v>54</v>
      </c>
      <c r="AC4" s="310" t="s">
        <v>81</v>
      </c>
      <c r="AD4" s="303" t="s">
        <v>55</v>
      </c>
      <c r="AE4" s="309" t="s">
        <v>56</v>
      </c>
      <c r="AF4" s="310" t="s">
        <v>82</v>
      </c>
      <c r="AG4" s="303" t="s">
        <v>57</v>
      </c>
      <c r="AH4" s="309" t="s">
        <v>58</v>
      </c>
      <c r="AI4" s="310" t="s">
        <v>83</v>
      </c>
      <c r="AJ4" s="306" t="s">
        <v>59</v>
      </c>
      <c r="AK4" s="307" t="s">
        <v>84</v>
      </c>
      <c r="AL4" s="308" t="s">
        <v>85</v>
      </c>
      <c r="AN4" s="321" t="s">
        <v>95</v>
      </c>
      <c r="AO4" s="322" t="s">
        <v>96</v>
      </c>
      <c r="AP4" s="323" t="s">
        <v>101</v>
      </c>
      <c r="AQ4" s="372" t="s">
        <v>60</v>
      </c>
      <c r="AR4" s="373" t="s">
        <v>61</v>
      </c>
      <c r="AS4" s="374" t="s">
        <v>102</v>
      </c>
      <c r="AT4" s="372" t="s">
        <v>62</v>
      </c>
      <c r="AU4" s="373" t="s">
        <v>63</v>
      </c>
      <c r="AV4" s="374" t="s">
        <v>104</v>
      </c>
      <c r="AW4" s="74" t="s">
        <v>64</v>
      </c>
      <c r="AX4" s="75" t="s">
        <v>65</v>
      </c>
      <c r="AY4" s="76" t="s">
        <v>103</v>
      </c>
      <c r="AZ4" s="338" t="s">
        <v>66</v>
      </c>
      <c r="BA4" s="339" t="s">
        <v>105</v>
      </c>
      <c r="BB4" s="340" t="s">
        <v>106</v>
      </c>
      <c r="BC4" s="77" t="s">
        <v>112</v>
      </c>
      <c r="BD4" s="78" t="s">
        <v>113</v>
      </c>
      <c r="BE4" s="82" t="s">
        <v>114</v>
      </c>
      <c r="BF4" s="329" t="s">
        <v>115</v>
      </c>
      <c r="BG4" s="437" t="s">
        <v>77</v>
      </c>
      <c r="BH4" s="437" t="s">
        <v>78</v>
      </c>
      <c r="BI4" s="261" t="s">
        <v>97</v>
      </c>
      <c r="BJ4" s="58" t="s">
        <v>91</v>
      </c>
      <c r="BK4" s="438" t="s">
        <v>93</v>
      </c>
      <c r="BL4" s="446" t="s">
        <v>94</v>
      </c>
    </row>
    <row r="5" spans="1:64" s="1" customFormat="1" ht="18.75" customHeight="1">
      <c r="A5" s="473" t="s">
        <v>7</v>
      </c>
      <c r="B5" s="5" t="s">
        <v>4</v>
      </c>
      <c r="C5" s="128">
        <f>1967639.11+12734.69</f>
        <v>1980373.8</v>
      </c>
      <c r="D5" s="162">
        <v>706050.8708333332</v>
      </c>
      <c r="E5" s="95">
        <v>-246022.46</v>
      </c>
      <c r="F5" s="90">
        <f>G5+H5+I5+K5</f>
        <v>4346000</v>
      </c>
      <c r="G5" s="103">
        <v>682000</v>
      </c>
      <c r="H5" s="103">
        <v>682000</v>
      </c>
      <c r="I5" s="181">
        <v>682000</v>
      </c>
      <c r="J5" s="200">
        <f>G5+H5+I5</f>
        <v>2046000</v>
      </c>
      <c r="K5" s="200">
        <f>2100000+200000</f>
        <v>2300000</v>
      </c>
      <c r="L5" s="181">
        <v>700000</v>
      </c>
      <c r="M5" s="181">
        <f>L5</f>
        <v>700000</v>
      </c>
      <c r="N5" s="103">
        <f>K5-L5-M5</f>
        <v>900000</v>
      </c>
      <c r="O5" s="45">
        <v>821510.71</v>
      </c>
      <c r="P5" s="46">
        <v>282842.47</v>
      </c>
      <c r="Q5" s="48">
        <v>1013552.29</v>
      </c>
      <c r="R5" s="45">
        <v>696829.1</v>
      </c>
      <c r="S5" s="46">
        <v>275660.62</v>
      </c>
      <c r="T5" s="48">
        <v>201504.74</v>
      </c>
      <c r="U5" s="45">
        <v>672653.65</v>
      </c>
      <c r="V5" s="46">
        <v>592884.94</v>
      </c>
      <c r="W5" s="48">
        <f>970912.91+3.22</f>
        <v>970916.13</v>
      </c>
      <c r="X5" s="209">
        <f aca="true" t="shared" si="2" ref="X5:Z6">O5+R5+U5</f>
        <v>2190993.46</v>
      </c>
      <c r="Y5" s="210">
        <f t="shared" si="2"/>
        <v>1151388.0299999998</v>
      </c>
      <c r="Z5" s="211">
        <f t="shared" si="2"/>
        <v>2185973.16</v>
      </c>
      <c r="AA5" s="45">
        <v>672335.03</v>
      </c>
      <c r="AB5" s="47">
        <v>1339318.52</v>
      </c>
      <c r="AC5" s="20">
        <v>282839.25</v>
      </c>
      <c r="AD5" s="45">
        <v>919254.31</v>
      </c>
      <c r="AE5" s="47">
        <v>1428875.07</v>
      </c>
      <c r="AF5" s="20">
        <v>275660.62</v>
      </c>
      <c r="AG5" s="45">
        <v>704205.88</v>
      </c>
      <c r="AH5" s="47">
        <v>273488.52</v>
      </c>
      <c r="AI5" s="247">
        <f>592884.94+2.94</f>
        <v>592887.8799999999</v>
      </c>
      <c r="AJ5" s="209">
        <f aca="true" t="shared" si="3" ref="AJ5:AL6">AA5+AD5+AG5</f>
        <v>2295795.22</v>
      </c>
      <c r="AK5" s="210">
        <f t="shared" si="3"/>
        <v>3041682.11</v>
      </c>
      <c r="AL5" s="211">
        <f t="shared" si="3"/>
        <v>1151387.75</v>
      </c>
      <c r="AN5" s="209">
        <f aca="true" t="shared" si="4" ref="AN5:AP6">X5+AJ5</f>
        <v>4486788.68</v>
      </c>
      <c r="AO5" s="210">
        <f t="shared" si="4"/>
        <v>4193070.1399999997</v>
      </c>
      <c r="AP5" s="334">
        <f t="shared" si="4"/>
        <v>3337360.91</v>
      </c>
      <c r="AQ5" s="369">
        <v>806704.07</v>
      </c>
      <c r="AR5" s="375">
        <v>1350703.25</v>
      </c>
      <c r="AS5" s="376">
        <v>1339315.58</v>
      </c>
      <c r="AT5" s="369">
        <v>863771.46</v>
      </c>
      <c r="AU5" s="375">
        <v>430279.37</v>
      </c>
      <c r="AV5" s="409">
        <v>1428875.07</v>
      </c>
      <c r="AW5" s="352">
        <v>713682.07</v>
      </c>
      <c r="AX5" s="231">
        <v>1083357.85</v>
      </c>
      <c r="AY5" s="343">
        <v>273488.52</v>
      </c>
      <c r="AZ5" s="212">
        <f aca="true" t="shared" si="5" ref="AZ5:BB6">AQ5+AT5+AW5</f>
        <v>2384157.5999999996</v>
      </c>
      <c r="BA5" s="213">
        <f t="shared" si="5"/>
        <v>2864340.47</v>
      </c>
      <c r="BB5" s="39">
        <f t="shared" si="5"/>
        <v>3041679.1700000004</v>
      </c>
      <c r="BC5" s="230">
        <f aca="true" t="shared" si="6" ref="BC5:BE6">AN5+AZ5</f>
        <v>6870946.279999999</v>
      </c>
      <c r="BD5" s="231">
        <f t="shared" si="6"/>
        <v>7057410.609999999</v>
      </c>
      <c r="BE5" s="232">
        <f t="shared" si="6"/>
        <v>6379040.08</v>
      </c>
      <c r="BF5" s="451">
        <f>C5+BD5-BC5+14762.2-15485.14</f>
        <v>2166115.190000001</v>
      </c>
      <c r="BG5" s="452">
        <f>BL5-BD5</f>
        <v>1147109.3900000006</v>
      </c>
      <c r="BH5" s="453"/>
      <c r="BI5" s="262">
        <f>AO5-F5</f>
        <v>-152929.86000000034</v>
      </c>
      <c r="BJ5" s="42">
        <f aca="true" t="shared" si="7" ref="BJ5:BJ22">BC5/9</f>
        <v>763438.4755555554</v>
      </c>
      <c r="BK5" s="317">
        <v>2800000</v>
      </c>
      <c r="BL5" s="445">
        <f>F5+BK5+644640+413880</f>
        <v>8204520</v>
      </c>
    </row>
    <row r="6" spans="1:64" s="1" customFormat="1" ht="18.75" customHeight="1" thickBot="1">
      <c r="A6" s="474"/>
      <c r="B6" s="13" t="s">
        <v>5</v>
      </c>
      <c r="C6" s="129"/>
      <c r="D6" s="163">
        <v>803207.1358333332</v>
      </c>
      <c r="E6" s="96">
        <v>79475.62999999896</v>
      </c>
      <c r="F6" s="90">
        <f>G6+H6+I6+K6</f>
        <v>4900000</v>
      </c>
      <c r="G6" s="101">
        <v>800000</v>
      </c>
      <c r="H6" s="101">
        <v>800000</v>
      </c>
      <c r="I6" s="182">
        <v>800000</v>
      </c>
      <c r="J6" s="200">
        <f>G6+H6+I6</f>
        <v>2400000</v>
      </c>
      <c r="K6" s="201">
        <f>2700000-200000</f>
        <v>2500000</v>
      </c>
      <c r="L6" s="182">
        <v>900000</v>
      </c>
      <c r="M6" s="181">
        <f>L6</f>
        <v>900000</v>
      </c>
      <c r="N6" s="103">
        <f>K6-L6-M6</f>
        <v>700000</v>
      </c>
      <c r="O6" s="49">
        <v>685474.75</v>
      </c>
      <c r="P6" s="50"/>
      <c r="Q6" s="52"/>
      <c r="R6" s="49">
        <v>812183.12</v>
      </c>
      <c r="S6" s="50"/>
      <c r="T6" s="52"/>
      <c r="U6" s="49">
        <v>707314.38</v>
      </c>
      <c r="V6" s="50"/>
      <c r="W6" s="52"/>
      <c r="X6" s="212">
        <f t="shared" si="2"/>
        <v>2204972.25</v>
      </c>
      <c r="Y6" s="213">
        <f t="shared" si="2"/>
        <v>0</v>
      </c>
      <c r="Z6" s="39">
        <f t="shared" si="2"/>
        <v>0</v>
      </c>
      <c r="AA6" s="49">
        <v>829635.6</v>
      </c>
      <c r="AB6" s="51"/>
      <c r="AC6" s="21"/>
      <c r="AD6" s="49">
        <v>972579.73</v>
      </c>
      <c r="AE6" s="51"/>
      <c r="AF6" s="21"/>
      <c r="AG6" s="49">
        <v>836507.02</v>
      </c>
      <c r="AH6" s="51"/>
      <c r="AI6" s="248"/>
      <c r="AJ6" s="212">
        <f t="shared" si="3"/>
        <v>2638722.35</v>
      </c>
      <c r="AK6" s="213">
        <f t="shared" si="3"/>
        <v>0</v>
      </c>
      <c r="AL6" s="39">
        <f t="shared" si="3"/>
        <v>0</v>
      </c>
      <c r="AN6" s="212">
        <f t="shared" si="4"/>
        <v>4843694.6</v>
      </c>
      <c r="AO6" s="213">
        <f t="shared" si="4"/>
        <v>0</v>
      </c>
      <c r="AP6" s="335">
        <f t="shared" si="4"/>
        <v>0</v>
      </c>
      <c r="AQ6" s="370">
        <v>772636.91</v>
      </c>
      <c r="AR6" s="377"/>
      <c r="AS6" s="378"/>
      <c r="AT6" s="370">
        <v>798392.68</v>
      </c>
      <c r="AU6" s="377"/>
      <c r="AV6" s="407"/>
      <c r="AW6" s="350">
        <v>776573.46</v>
      </c>
      <c r="AX6" s="235"/>
      <c r="AY6" s="342"/>
      <c r="AZ6" s="234">
        <f t="shared" si="5"/>
        <v>2347603.05</v>
      </c>
      <c r="BA6" s="235">
        <f t="shared" si="5"/>
        <v>0</v>
      </c>
      <c r="BB6" s="236">
        <f t="shared" si="5"/>
        <v>0</v>
      </c>
      <c r="BC6" s="212">
        <f t="shared" si="6"/>
        <v>7191297.649999999</v>
      </c>
      <c r="BD6" s="213">
        <f t="shared" si="6"/>
        <v>0</v>
      </c>
      <c r="BE6" s="39">
        <f t="shared" si="6"/>
        <v>0</v>
      </c>
      <c r="BF6" s="454"/>
      <c r="BG6" s="455"/>
      <c r="BH6" s="456">
        <f>BL6-BC6</f>
        <v>858702.3500000006</v>
      </c>
      <c r="BI6" s="264">
        <f>AN6-F6</f>
        <v>-56305.40000000037</v>
      </c>
      <c r="BJ6" s="42">
        <f t="shared" si="7"/>
        <v>799033.0722222221</v>
      </c>
      <c r="BK6" s="318">
        <v>2550000</v>
      </c>
      <c r="BL6" s="313">
        <f>F6+BK6+600000</f>
        <v>8050000</v>
      </c>
    </row>
    <row r="7" spans="1:64" s="1" customFormat="1" ht="24" customHeight="1" thickBot="1">
      <c r="A7" s="461" t="s">
        <v>37</v>
      </c>
      <c r="B7" s="462"/>
      <c r="C7" s="116">
        <f>C5</f>
        <v>1980373.8</v>
      </c>
      <c r="D7" s="164">
        <v>1509258.0066666666</v>
      </c>
      <c r="E7" s="116">
        <v>-137583.630000001</v>
      </c>
      <c r="F7" s="102">
        <f aca="true" t="shared" si="8" ref="F7:AL7">F5+F6</f>
        <v>9246000</v>
      </c>
      <c r="G7" s="102">
        <f t="shared" si="8"/>
        <v>1482000</v>
      </c>
      <c r="H7" s="102">
        <f t="shared" si="8"/>
        <v>1482000</v>
      </c>
      <c r="I7" s="102">
        <f t="shared" si="8"/>
        <v>1482000</v>
      </c>
      <c r="J7" s="102">
        <f t="shared" si="8"/>
        <v>4446000</v>
      </c>
      <c r="K7" s="102">
        <f t="shared" si="8"/>
        <v>4800000</v>
      </c>
      <c r="L7" s="102">
        <f t="shared" si="8"/>
        <v>1600000</v>
      </c>
      <c r="M7" s="102">
        <f t="shared" si="8"/>
        <v>1600000</v>
      </c>
      <c r="N7" s="102">
        <f t="shared" si="8"/>
        <v>1600000</v>
      </c>
      <c r="O7" s="59">
        <f t="shared" si="8"/>
        <v>1506985.46</v>
      </c>
      <c r="P7" s="59">
        <f t="shared" si="8"/>
        <v>282842.47</v>
      </c>
      <c r="Q7" s="59">
        <f t="shared" si="8"/>
        <v>1013552.29</v>
      </c>
      <c r="R7" s="59">
        <f t="shared" si="8"/>
        <v>1509012.22</v>
      </c>
      <c r="S7" s="59">
        <f t="shared" si="8"/>
        <v>275660.62</v>
      </c>
      <c r="T7" s="59">
        <f t="shared" si="8"/>
        <v>201504.74</v>
      </c>
      <c r="U7" s="59">
        <f t="shared" si="8"/>
        <v>1379968.03</v>
      </c>
      <c r="V7" s="59">
        <f t="shared" si="8"/>
        <v>592884.94</v>
      </c>
      <c r="W7" s="59">
        <f t="shared" si="8"/>
        <v>970916.13</v>
      </c>
      <c r="X7" s="224">
        <f t="shared" si="8"/>
        <v>4395965.71</v>
      </c>
      <c r="Y7" s="224">
        <f t="shared" si="8"/>
        <v>1151388.0299999998</v>
      </c>
      <c r="Z7" s="214">
        <f t="shared" si="8"/>
        <v>2185973.16</v>
      </c>
      <c r="AA7" s="59">
        <f t="shared" si="8"/>
        <v>1501970.63</v>
      </c>
      <c r="AB7" s="59">
        <f t="shared" si="8"/>
        <v>1339318.52</v>
      </c>
      <c r="AC7" s="59">
        <f t="shared" si="8"/>
        <v>282839.25</v>
      </c>
      <c r="AD7" s="59">
        <f t="shared" si="8"/>
        <v>1891834.04</v>
      </c>
      <c r="AE7" s="59">
        <f t="shared" si="8"/>
        <v>1428875.07</v>
      </c>
      <c r="AF7" s="59">
        <f t="shared" si="8"/>
        <v>275660.62</v>
      </c>
      <c r="AG7" s="59">
        <f t="shared" si="8"/>
        <v>1540712.9</v>
      </c>
      <c r="AH7" s="59">
        <f t="shared" si="8"/>
        <v>273488.52</v>
      </c>
      <c r="AI7" s="69">
        <f t="shared" si="8"/>
        <v>592887.8799999999</v>
      </c>
      <c r="AJ7" s="69">
        <f t="shared" si="8"/>
        <v>4934517.57</v>
      </c>
      <c r="AK7" s="69">
        <f t="shared" si="8"/>
        <v>3041682.11</v>
      </c>
      <c r="AL7" s="69">
        <f t="shared" si="8"/>
        <v>1151387.75</v>
      </c>
      <c r="AM7" s="66"/>
      <c r="AN7" s="214">
        <f aca="true" t="shared" si="9" ref="AN7:AS7">AN5+AN6</f>
        <v>9330483.28</v>
      </c>
      <c r="AO7" s="214">
        <f t="shared" si="9"/>
        <v>4193070.1399999997</v>
      </c>
      <c r="AP7" s="224">
        <f t="shared" si="9"/>
        <v>3337360.91</v>
      </c>
      <c r="AQ7" s="379">
        <f t="shared" si="9"/>
        <v>1579340.98</v>
      </c>
      <c r="AR7" s="380">
        <f t="shared" si="9"/>
        <v>1350703.25</v>
      </c>
      <c r="AS7" s="381">
        <f t="shared" si="9"/>
        <v>1339315.58</v>
      </c>
      <c r="AT7" s="380">
        <f aca="true" t="shared" si="10" ref="AT7:BE7">AT5+AT6+AT3</f>
        <v>1662238.87</v>
      </c>
      <c r="AU7" s="419">
        <f t="shared" si="10"/>
        <v>479035.6</v>
      </c>
      <c r="AV7" s="408">
        <f t="shared" si="10"/>
        <v>1428875.07</v>
      </c>
      <c r="AW7" s="351">
        <f t="shared" si="10"/>
        <v>1494755.4</v>
      </c>
      <c r="AX7" s="344">
        <f t="shared" si="10"/>
        <v>1193674.48</v>
      </c>
      <c r="AY7" s="344">
        <f t="shared" si="10"/>
        <v>273488.52</v>
      </c>
      <c r="AZ7" s="344">
        <f t="shared" si="10"/>
        <v>4736335.249999999</v>
      </c>
      <c r="BA7" s="344">
        <f t="shared" si="10"/>
        <v>3023413.33</v>
      </c>
      <c r="BB7" s="345">
        <f t="shared" si="10"/>
        <v>3041679.1700000004</v>
      </c>
      <c r="BC7" s="344">
        <f t="shared" si="10"/>
        <v>14066818.53</v>
      </c>
      <c r="BD7" s="344">
        <f t="shared" si="10"/>
        <v>7216483.47</v>
      </c>
      <c r="BE7" s="345">
        <f t="shared" si="10"/>
        <v>6379040.08</v>
      </c>
      <c r="BF7" s="255"/>
      <c r="BG7" s="265"/>
      <c r="BH7" s="266"/>
      <c r="BI7" s="265">
        <f>BI5+BI6</f>
        <v>-209235.2600000007</v>
      </c>
      <c r="BJ7" s="42">
        <f t="shared" si="7"/>
        <v>1562979.8366666667</v>
      </c>
      <c r="BK7" s="316">
        <f>BK3+BK5+BK6</f>
        <v>5641890</v>
      </c>
      <c r="BL7" s="314">
        <f>BL3+BL5+BL6</f>
        <v>16546410</v>
      </c>
    </row>
    <row r="8" spans="1:64" s="1" customFormat="1" ht="18.75" customHeight="1">
      <c r="A8" s="32"/>
      <c r="B8" s="33" t="s">
        <v>31</v>
      </c>
      <c r="C8" s="128"/>
      <c r="D8" s="162">
        <v>202396.13</v>
      </c>
      <c r="E8" s="95">
        <v>-1246.4399999999441</v>
      </c>
      <c r="F8" s="90">
        <f>G8+H8+I8+K8</f>
        <v>608000</v>
      </c>
      <c r="G8" s="103">
        <v>200000</v>
      </c>
      <c r="H8" s="103">
        <v>200000</v>
      </c>
      <c r="I8" s="181">
        <v>200000</v>
      </c>
      <c r="J8" s="200">
        <f>G8+H8+I8</f>
        <v>600000</v>
      </c>
      <c r="K8" s="200">
        <f>200000-192000</f>
        <v>8000</v>
      </c>
      <c r="L8" s="181">
        <v>100000</v>
      </c>
      <c r="M8" s="181">
        <f>L8</f>
        <v>100000</v>
      </c>
      <c r="N8" s="103">
        <f>K8-L8-M8</f>
        <v>-192000</v>
      </c>
      <c r="O8" s="49">
        <v>70771.74</v>
      </c>
      <c r="P8" s="50"/>
      <c r="Q8" s="52"/>
      <c r="R8" s="49">
        <v>128781.02</v>
      </c>
      <c r="S8" s="50"/>
      <c r="T8" s="52"/>
      <c r="U8" s="49">
        <v>91847.86</v>
      </c>
      <c r="V8" s="50"/>
      <c r="W8" s="52"/>
      <c r="X8" s="212">
        <f aca="true" t="shared" si="11" ref="X8:Z9">O8+R8+U8</f>
        <v>291400.62</v>
      </c>
      <c r="Y8" s="213">
        <f t="shared" si="11"/>
        <v>0</v>
      </c>
      <c r="Z8" s="39">
        <f t="shared" si="11"/>
        <v>0</v>
      </c>
      <c r="AA8" s="49">
        <v>106594.95</v>
      </c>
      <c r="AB8" s="51"/>
      <c r="AC8" s="21"/>
      <c r="AD8" s="49">
        <v>109483.79</v>
      </c>
      <c r="AE8" s="51"/>
      <c r="AF8" s="21"/>
      <c r="AG8" s="49">
        <v>75414.62</v>
      </c>
      <c r="AH8" s="51"/>
      <c r="AI8" s="248"/>
      <c r="AJ8" s="212">
        <f aca="true" t="shared" si="12" ref="AJ8:AL9">AA8+AD8+AG8</f>
        <v>291493.36</v>
      </c>
      <c r="AK8" s="213">
        <f t="shared" si="12"/>
        <v>0</v>
      </c>
      <c r="AL8" s="39">
        <f t="shared" si="12"/>
        <v>0</v>
      </c>
      <c r="AN8" s="212">
        <f aca="true" t="shared" si="13" ref="AN8:AP9">X8+AJ8</f>
        <v>582893.98</v>
      </c>
      <c r="AO8" s="213">
        <f t="shared" si="13"/>
        <v>0</v>
      </c>
      <c r="AP8" s="335">
        <f t="shared" si="13"/>
        <v>0</v>
      </c>
      <c r="AQ8" s="369">
        <v>129669.14</v>
      </c>
      <c r="AR8" s="375"/>
      <c r="AS8" s="376"/>
      <c r="AT8" s="369">
        <v>160930.72</v>
      </c>
      <c r="AU8" s="375"/>
      <c r="AV8" s="409"/>
      <c r="AW8" s="352">
        <v>123530.24</v>
      </c>
      <c r="AX8" s="231"/>
      <c r="AY8" s="343"/>
      <c r="AZ8" s="230">
        <f aca="true" t="shared" si="14" ref="AZ8:BB9">AQ8+AT8+AW8</f>
        <v>414130.1</v>
      </c>
      <c r="BA8" s="231">
        <f t="shared" si="14"/>
        <v>0</v>
      </c>
      <c r="BB8" s="232">
        <f t="shared" si="14"/>
        <v>0</v>
      </c>
      <c r="BC8" s="230">
        <f aca="true" t="shared" si="15" ref="BC8:BE9">AN8+AZ8</f>
        <v>997024.08</v>
      </c>
      <c r="BD8" s="231">
        <f t="shared" si="15"/>
        <v>0</v>
      </c>
      <c r="BE8" s="232">
        <f t="shared" si="15"/>
        <v>0</v>
      </c>
      <c r="BF8" s="196"/>
      <c r="BG8" s="212"/>
      <c r="BH8" s="335">
        <f>BL8-BC8</f>
        <v>140975.92000000004</v>
      </c>
      <c r="BI8" s="262">
        <f>AN8-F8</f>
        <v>-25106.02000000002</v>
      </c>
      <c r="BJ8" s="42">
        <f t="shared" si="7"/>
        <v>110780.45333333332</v>
      </c>
      <c r="BK8" s="318">
        <v>330000</v>
      </c>
      <c r="BL8" s="313">
        <f>F8+BK8+100000+100000</f>
        <v>1138000</v>
      </c>
    </row>
    <row r="9" spans="1:64" s="1" customFormat="1" ht="18.75" customHeight="1" thickBot="1">
      <c r="A9" s="43"/>
      <c r="B9" s="44" t="s">
        <v>42</v>
      </c>
      <c r="C9" s="129">
        <f>496266.33-12734.69</f>
        <v>483531.64</v>
      </c>
      <c r="D9" s="163">
        <v>73851.60083333333</v>
      </c>
      <c r="E9" s="96">
        <v>-97325.23</v>
      </c>
      <c r="F9" s="90">
        <f>G9+H9+I9+K9</f>
        <v>1043000</v>
      </c>
      <c r="G9" s="101">
        <v>145000</v>
      </c>
      <c r="H9" s="101">
        <v>145000</v>
      </c>
      <c r="I9" s="182">
        <v>145000</v>
      </c>
      <c r="J9" s="200">
        <f>G9+H9+I9</f>
        <v>435000</v>
      </c>
      <c r="K9" s="201">
        <f>416000+192000</f>
        <v>608000</v>
      </c>
      <c r="L9" s="182">
        <v>208000</v>
      </c>
      <c r="M9" s="181">
        <f>L9</f>
        <v>208000</v>
      </c>
      <c r="N9" s="103">
        <f>K9-L9-M9</f>
        <v>192000</v>
      </c>
      <c r="O9" s="49">
        <v>135734.69</v>
      </c>
      <c r="P9" s="50">
        <v>32407.88</v>
      </c>
      <c r="Q9" s="52">
        <v>218406.55</v>
      </c>
      <c r="R9" s="49">
        <v>179019.46</v>
      </c>
      <c r="S9" s="50">
        <v>89121.67</v>
      </c>
      <c r="T9" s="52">
        <v>224677.3</v>
      </c>
      <c r="U9" s="49">
        <v>215949.42</v>
      </c>
      <c r="V9" s="50">
        <v>252824.19</v>
      </c>
      <c r="W9" s="52">
        <f>227474.22+4.04</f>
        <v>227478.26</v>
      </c>
      <c r="X9" s="212">
        <f t="shared" si="11"/>
        <v>530703.5700000001</v>
      </c>
      <c r="Y9" s="213">
        <f t="shared" si="11"/>
        <v>374353.74</v>
      </c>
      <c r="Z9" s="39">
        <f t="shared" si="11"/>
        <v>670562.11</v>
      </c>
      <c r="AA9" s="49">
        <v>180600.56</v>
      </c>
      <c r="AB9" s="51">
        <v>243141.12</v>
      </c>
      <c r="AC9" s="21">
        <v>89117.63</v>
      </c>
      <c r="AD9" s="49">
        <v>342698.87</v>
      </c>
      <c r="AE9" s="51">
        <v>299104.07</v>
      </c>
      <c r="AF9" s="21">
        <v>252823.49</v>
      </c>
      <c r="AG9" s="49">
        <v>215054.18</v>
      </c>
      <c r="AH9" s="51">
        <v>95169.67</v>
      </c>
      <c r="AI9" s="248">
        <f>243141.82+3.23</f>
        <v>243145.05000000002</v>
      </c>
      <c r="AJ9" s="212">
        <f t="shared" si="12"/>
        <v>738353.61</v>
      </c>
      <c r="AK9" s="213">
        <f t="shared" si="12"/>
        <v>637414.86</v>
      </c>
      <c r="AL9" s="39">
        <f t="shared" si="12"/>
        <v>585086.17</v>
      </c>
      <c r="AN9" s="212">
        <f t="shared" si="13"/>
        <v>1269057.1800000002</v>
      </c>
      <c r="AO9" s="213">
        <f t="shared" si="13"/>
        <v>1011768.6</v>
      </c>
      <c r="AP9" s="335">
        <f t="shared" si="13"/>
        <v>1255648.28</v>
      </c>
      <c r="AQ9" s="382">
        <v>289205.53</v>
      </c>
      <c r="AR9" s="383">
        <v>158971.7</v>
      </c>
      <c r="AS9" s="384">
        <v>299096.21</v>
      </c>
      <c r="AT9" s="382">
        <v>233833.76</v>
      </c>
      <c r="AU9" s="383">
        <v>229283.9</v>
      </c>
      <c r="AV9" s="406">
        <v>95165.38</v>
      </c>
      <c r="AW9" s="349">
        <v>215180.09</v>
      </c>
      <c r="AX9" s="213">
        <v>358482.42</v>
      </c>
      <c r="AY9" s="335">
        <v>158980.62</v>
      </c>
      <c r="AZ9" s="212">
        <f t="shared" si="14"/>
        <v>738219.38</v>
      </c>
      <c r="BA9" s="213">
        <f t="shared" si="14"/>
        <v>746738.02</v>
      </c>
      <c r="BB9" s="39">
        <f t="shared" si="14"/>
        <v>553242.21</v>
      </c>
      <c r="BC9" s="230">
        <f t="shared" si="15"/>
        <v>2007276.56</v>
      </c>
      <c r="BD9" s="231">
        <f t="shared" si="15"/>
        <v>1758506.62</v>
      </c>
      <c r="BE9" s="232">
        <f t="shared" si="15"/>
        <v>1808890.49</v>
      </c>
      <c r="BF9" s="196">
        <f>C9+BD9-BC9</f>
        <v>234761.7000000002</v>
      </c>
      <c r="BG9" s="212">
        <f>BL9-BD9</f>
        <v>452643.3799999999</v>
      </c>
      <c r="BH9" s="335"/>
      <c r="BI9" s="264">
        <f>AO9-F9</f>
        <v>-31231.400000000023</v>
      </c>
      <c r="BJ9" s="42">
        <f t="shared" si="7"/>
        <v>223030.7288888889</v>
      </c>
      <c r="BK9" s="318">
        <v>562000</v>
      </c>
      <c r="BL9" s="313">
        <f>F9+BK9+300000+306150</f>
        <v>2211150</v>
      </c>
    </row>
    <row r="10" spans="1:64" s="1" customFormat="1" ht="23.25" customHeight="1" thickBot="1">
      <c r="A10" s="461" t="s">
        <v>43</v>
      </c>
      <c r="B10" s="462"/>
      <c r="C10" s="130">
        <f>C9</f>
        <v>483531.64</v>
      </c>
      <c r="D10" s="165">
        <v>276247.73083333333</v>
      </c>
      <c r="E10" s="119">
        <v>-98571.66999999993</v>
      </c>
      <c r="F10" s="104">
        <f aca="true" t="shared" si="16" ref="F10:AL10">F8+F9</f>
        <v>1651000</v>
      </c>
      <c r="G10" s="104">
        <f t="shared" si="16"/>
        <v>345000</v>
      </c>
      <c r="H10" s="104">
        <f t="shared" si="16"/>
        <v>345000</v>
      </c>
      <c r="I10" s="104">
        <f t="shared" si="16"/>
        <v>345000</v>
      </c>
      <c r="J10" s="104">
        <f t="shared" si="16"/>
        <v>1035000</v>
      </c>
      <c r="K10" s="104">
        <f t="shared" si="16"/>
        <v>616000</v>
      </c>
      <c r="L10" s="104">
        <f t="shared" si="16"/>
        <v>308000</v>
      </c>
      <c r="M10" s="104">
        <f t="shared" si="16"/>
        <v>308000</v>
      </c>
      <c r="N10" s="104">
        <f t="shared" si="16"/>
        <v>0</v>
      </c>
      <c r="O10" s="59">
        <f t="shared" si="16"/>
        <v>206506.43</v>
      </c>
      <c r="P10" s="59">
        <f t="shared" si="16"/>
        <v>32407.88</v>
      </c>
      <c r="Q10" s="59">
        <f t="shared" si="16"/>
        <v>218406.55</v>
      </c>
      <c r="R10" s="59">
        <f t="shared" si="16"/>
        <v>307800.48</v>
      </c>
      <c r="S10" s="59">
        <f t="shared" si="16"/>
        <v>89121.67</v>
      </c>
      <c r="T10" s="59">
        <f t="shared" si="16"/>
        <v>224677.3</v>
      </c>
      <c r="U10" s="59">
        <f t="shared" si="16"/>
        <v>307797.28</v>
      </c>
      <c r="V10" s="59">
        <f t="shared" si="16"/>
        <v>252824.19</v>
      </c>
      <c r="W10" s="59">
        <f t="shared" si="16"/>
        <v>227478.26</v>
      </c>
      <c r="X10" s="224">
        <f t="shared" si="16"/>
        <v>822104.1900000001</v>
      </c>
      <c r="Y10" s="224">
        <f t="shared" si="16"/>
        <v>374353.74</v>
      </c>
      <c r="Z10" s="214">
        <f t="shared" si="16"/>
        <v>670562.11</v>
      </c>
      <c r="AA10" s="59">
        <f t="shared" si="16"/>
        <v>287195.51</v>
      </c>
      <c r="AB10" s="59">
        <f t="shared" si="16"/>
        <v>243141.12</v>
      </c>
      <c r="AC10" s="59">
        <f t="shared" si="16"/>
        <v>89117.63</v>
      </c>
      <c r="AD10" s="59">
        <f t="shared" si="16"/>
        <v>452182.66</v>
      </c>
      <c r="AE10" s="59">
        <f t="shared" si="16"/>
        <v>299104.07</v>
      </c>
      <c r="AF10" s="59">
        <f t="shared" si="16"/>
        <v>252823.49</v>
      </c>
      <c r="AG10" s="59">
        <f t="shared" si="16"/>
        <v>290468.8</v>
      </c>
      <c r="AH10" s="59">
        <f t="shared" si="16"/>
        <v>95169.67</v>
      </c>
      <c r="AI10" s="69">
        <f t="shared" si="16"/>
        <v>243145.05000000002</v>
      </c>
      <c r="AJ10" s="69">
        <f t="shared" si="16"/>
        <v>1029846.97</v>
      </c>
      <c r="AK10" s="69">
        <f t="shared" si="16"/>
        <v>637414.86</v>
      </c>
      <c r="AL10" s="69">
        <f t="shared" si="16"/>
        <v>585086.17</v>
      </c>
      <c r="AM10" s="66"/>
      <c r="AN10" s="214">
        <f aca="true" t="shared" si="17" ref="AN10:BE10">AN8+AN9</f>
        <v>1851951.1600000001</v>
      </c>
      <c r="AO10" s="214">
        <f t="shared" si="17"/>
        <v>1011768.6</v>
      </c>
      <c r="AP10" s="224">
        <f t="shared" si="17"/>
        <v>1255648.28</v>
      </c>
      <c r="AQ10" s="379">
        <f t="shared" si="17"/>
        <v>418874.67000000004</v>
      </c>
      <c r="AR10" s="379">
        <f t="shared" si="17"/>
        <v>158971.7</v>
      </c>
      <c r="AS10" s="379">
        <f t="shared" si="17"/>
        <v>299096.21</v>
      </c>
      <c r="AT10" s="379">
        <f t="shared" si="17"/>
        <v>394764.48</v>
      </c>
      <c r="AU10" s="379">
        <f t="shared" si="17"/>
        <v>229283.9</v>
      </c>
      <c r="AV10" s="410">
        <f t="shared" si="17"/>
        <v>95165.38</v>
      </c>
      <c r="AW10" s="353">
        <f t="shared" si="17"/>
        <v>338710.33</v>
      </c>
      <c r="AX10" s="224">
        <f t="shared" si="17"/>
        <v>358482.42</v>
      </c>
      <c r="AY10" s="224">
        <f t="shared" si="17"/>
        <v>158980.62</v>
      </c>
      <c r="AZ10" s="224">
        <f t="shared" si="17"/>
        <v>1152349.48</v>
      </c>
      <c r="BA10" s="224">
        <f t="shared" si="17"/>
        <v>746738.02</v>
      </c>
      <c r="BB10" s="224">
        <f t="shared" si="17"/>
        <v>553242.21</v>
      </c>
      <c r="BC10" s="224">
        <f t="shared" si="17"/>
        <v>3004300.64</v>
      </c>
      <c r="BD10" s="224">
        <f t="shared" si="17"/>
        <v>1758506.62</v>
      </c>
      <c r="BE10" s="224">
        <f t="shared" si="17"/>
        <v>1808890.49</v>
      </c>
      <c r="BF10" s="255"/>
      <c r="BG10" s="265"/>
      <c r="BH10" s="266"/>
      <c r="BI10" s="265">
        <f>BI8+BI9</f>
        <v>-56337.42000000004</v>
      </c>
      <c r="BJ10" s="42">
        <f t="shared" si="7"/>
        <v>333811.1822222222</v>
      </c>
      <c r="BK10" s="320">
        <f>BK8+BK9</f>
        <v>892000</v>
      </c>
      <c r="BL10" s="405">
        <f>BL8+BL9</f>
        <v>3349150</v>
      </c>
    </row>
    <row r="11" spans="1:64" s="1" customFormat="1" ht="18" customHeight="1">
      <c r="A11" s="473" t="s">
        <v>6</v>
      </c>
      <c r="B11" s="5" t="s">
        <v>4</v>
      </c>
      <c r="C11" s="128">
        <v>5049.46</v>
      </c>
      <c r="D11" s="162">
        <v>2251.7566666666667</v>
      </c>
      <c r="E11" s="95">
        <v>-117.44000000000233</v>
      </c>
      <c r="F11" s="90">
        <f>G11+H11+I11+K11</f>
        <v>12000</v>
      </c>
      <c r="G11" s="103">
        <v>2000</v>
      </c>
      <c r="H11" s="103">
        <v>2000</v>
      </c>
      <c r="I11" s="181">
        <v>2000</v>
      </c>
      <c r="J11" s="200">
        <f>G11+H11+I11</f>
        <v>6000</v>
      </c>
      <c r="K11" s="200">
        <v>6000</v>
      </c>
      <c r="L11" s="181">
        <v>2000</v>
      </c>
      <c r="M11" s="181">
        <f>L11</f>
        <v>2000</v>
      </c>
      <c r="N11" s="103">
        <f>K11-L11-M11</f>
        <v>2000</v>
      </c>
      <c r="O11" s="49">
        <v>2185.53</v>
      </c>
      <c r="P11" s="50"/>
      <c r="Q11" s="52">
        <v>5436.55</v>
      </c>
      <c r="R11" s="49">
        <v>1643.61</v>
      </c>
      <c r="S11" s="50">
        <v>1873.43</v>
      </c>
      <c r="T11" s="52"/>
      <c r="U11" s="49">
        <v>2247.77</v>
      </c>
      <c r="V11" s="50">
        <v>1660.05</v>
      </c>
      <c r="W11" s="52">
        <v>3468.12</v>
      </c>
      <c r="X11" s="212">
        <f aca="true" t="shared" si="18" ref="X11:Z12">O11+R11+U11</f>
        <v>6076.91</v>
      </c>
      <c r="Y11" s="213">
        <f t="shared" si="18"/>
        <v>3533.48</v>
      </c>
      <c r="Z11" s="39">
        <f t="shared" si="18"/>
        <v>8904.67</v>
      </c>
      <c r="AA11" s="49">
        <v>878.55</v>
      </c>
      <c r="AB11" s="51">
        <v>4300.3</v>
      </c>
      <c r="AC11" s="21"/>
      <c r="AD11" s="49">
        <v>3476.05</v>
      </c>
      <c r="AE11" s="51">
        <v>324.25</v>
      </c>
      <c r="AF11" s="21">
        <v>1873.43</v>
      </c>
      <c r="AG11" s="49">
        <v>1058.57</v>
      </c>
      <c r="AH11" s="51">
        <v>889.81</v>
      </c>
      <c r="AI11" s="248">
        <v>1660.05</v>
      </c>
      <c r="AJ11" s="212">
        <f aca="true" t="shared" si="19" ref="AJ11:AL12">AA11+AD11+AG11</f>
        <v>5413.17</v>
      </c>
      <c r="AK11" s="213">
        <f t="shared" si="19"/>
        <v>5514.360000000001</v>
      </c>
      <c r="AL11" s="39">
        <f t="shared" si="19"/>
        <v>3533.48</v>
      </c>
      <c r="AN11" s="212">
        <f>X11+AJ11</f>
        <v>11490.08</v>
      </c>
      <c r="AO11" s="213">
        <f>Y11+AK11</f>
        <v>9047.84</v>
      </c>
      <c r="AP11" s="335">
        <f>Z11+AL11</f>
        <v>12438.15</v>
      </c>
      <c r="AQ11" s="382">
        <v>1212.44</v>
      </c>
      <c r="AR11" s="383">
        <v>736.22</v>
      </c>
      <c r="AS11" s="384">
        <v>4300.3</v>
      </c>
      <c r="AT11" s="382">
        <v>317.02</v>
      </c>
      <c r="AU11" s="383"/>
      <c r="AV11" s="406">
        <v>324.25</v>
      </c>
      <c r="AW11" s="349">
        <v>1050.11</v>
      </c>
      <c r="AX11" s="213">
        <v>1475.42</v>
      </c>
      <c r="AY11" s="335">
        <v>889.81</v>
      </c>
      <c r="AZ11" s="212">
        <f aca="true" t="shared" si="20" ref="AZ11:BB12">AQ11+AT11+AW11</f>
        <v>2579.5699999999997</v>
      </c>
      <c r="BA11" s="213">
        <f t="shared" si="20"/>
        <v>2211.6400000000003</v>
      </c>
      <c r="BB11" s="39">
        <f t="shared" si="20"/>
        <v>5514.360000000001</v>
      </c>
      <c r="BC11" s="230">
        <f aca="true" t="shared" si="21" ref="BC11:BE12">AN11+AZ11</f>
        <v>14069.65</v>
      </c>
      <c r="BD11" s="231">
        <f t="shared" si="21"/>
        <v>11259.48</v>
      </c>
      <c r="BE11" s="232">
        <f t="shared" si="21"/>
        <v>17952.510000000002</v>
      </c>
      <c r="BF11" s="196">
        <f>C11+BD11-BC11</f>
        <v>2239.289999999999</v>
      </c>
      <c r="BG11" s="263">
        <f>BL11-BD11</f>
        <v>6740.52</v>
      </c>
      <c r="BH11" s="245"/>
      <c r="BI11" s="262">
        <f>AO11-F11</f>
        <v>-2952.16</v>
      </c>
      <c r="BJ11" s="42">
        <f t="shared" si="7"/>
        <v>1563.2944444444445</v>
      </c>
      <c r="BK11" s="318">
        <v>6000</v>
      </c>
      <c r="BL11" s="313">
        <f>F11+BK11</f>
        <v>18000</v>
      </c>
    </row>
    <row r="12" spans="1:64" s="1" customFormat="1" ht="18" customHeight="1" thickBot="1">
      <c r="A12" s="474"/>
      <c r="B12" s="13" t="s">
        <v>5</v>
      </c>
      <c r="C12" s="129"/>
      <c r="D12" s="163">
        <v>1859782.4750000003</v>
      </c>
      <c r="E12" s="96">
        <v>29789.70000000298</v>
      </c>
      <c r="F12" s="90">
        <f>J12+K12</f>
        <v>12284000</v>
      </c>
      <c r="G12" s="101">
        <v>1858000</v>
      </c>
      <c r="H12" s="101">
        <v>1857000</v>
      </c>
      <c r="I12" s="182">
        <v>1857000</v>
      </c>
      <c r="J12" s="200">
        <f>G12+H12+I12+184000</f>
        <v>5756000</v>
      </c>
      <c r="K12" s="201">
        <v>6528000</v>
      </c>
      <c r="L12" s="182">
        <v>2176000</v>
      </c>
      <c r="M12" s="181">
        <f>L12</f>
        <v>2176000</v>
      </c>
      <c r="N12" s="103">
        <f>K12-L12-M12</f>
        <v>2176000</v>
      </c>
      <c r="O12" s="49">
        <v>1999911.45</v>
      </c>
      <c r="P12" s="50"/>
      <c r="Q12" s="52"/>
      <c r="R12" s="49">
        <v>2182415.79</v>
      </c>
      <c r="S12" s="50"/>
      <c r="T12" s="52"/>
      <c r="U12" s="49">
        <v>2345988.43</v>
      </c>
      <c r="V12" s="50"/>
      <c r="W12" s="52"/>
      <c r="X12" s="212">
        <f t="shared" si="18"/>
        <v>6528315.67</v>
      </c>
      <c r="Y12" s="213">
        <f t="shared" si="18"/>
        <v>0</v>
      </c>
      <c r="Z12" s="39">
        <f t="shared" si="18"/>
        <v>0</v>
      </c>
      <c r="AA12" s="49">
        <v>2088754.62</v>
      </c>
      <c r="AB12" s="51"/>
      <c r="AC12" s="21"/>
      <c r="AD12" s="49">
        <v>2368694.75</v>
      </c>
      <c r="AE12" s="51"/>
      <c r="AF12" s="21"/>
      <c r="AG12" s="49">
        <v>2324094.98</v>
      </c>
      <c r="AH12" s="51"/>
      <c r="AI12" s="248"/>
      <c r="AJ12" s="212">
        <f t="shared" si="19"/>
        <v>6781544.35</v>
      </c>
      <c r="AK12" s="213">
        <f t="shared" si="19"/>
        <v>0</v>
      </c>
      <c r="AL12" s="39">
        <f t="shared" si="19"/>
        <v>0</v>
      </c>
      <c r="AN12" s="212">
        <f>X12+AJ12+183086</f>
        <v>13492946.02</v>
      </c>
      <c r="AO12" s="213">
        <f>Y12+AK12</f>
        <v>0</v>
      </c>
      <c r="AP12" s="335">
        <f>Z12+AL12</f>
        <v>0</v>
      </c>
      <c r="AQ12" s="382">
        <v>2345986.86</v>
      </c>
      <c r="AR12" s="383"/>
      <c r="AS12" s="384"/>
      <c r="AT12" s="382">
        <v>2385540.34</v>
      </c>
      <c r="AU12" s="383"/>
      <c r="AV12" s="406"/>
      <c r="AW12" s="349">
        <v>2462418.99</v>
      </c>
      <c r="AX12" s="213"/>
      <c r="AY12" s="335"/>
      <c r="AZ12" s="212">
        <f t="shared" si="20"/>
        <v>7193946.1899999995</v>
      </c>
      <c r="BA12" s="213">
        <f t="shared" si="20"/>
        <v>0</v>
      </c>
      <c r="BB12" s="39">
        <f t="shared" si="20"/>
        <v>0</v>
      </c>
      <c r="BC12" s="230">
        <f t="shared" si="21"/>
        <v>20686892.21</v>
      </c>
      <c r="BD12" s="231">
        <f t="shared" si="21"/>
        <v>0</v>
      </c>
      <c r="BE12" s="232">
        <f t="shared" si="21"/>
        <v>0</v>
      </c>
      <c r="BF12" s="196"/>
      <c r="BG12" s="263"/>
      <c r="BH12" s="245">
        <f>BL12-BC12</f>
        <v>1543707.789999999</v>
      </c>
      <c r="BI12" s="267">
        <f>AN12-F12</f>
        <v>1208946.0199999996</v>
      </c>
      <c r="BJ12" s="42">
        <f t="shared" si="7"/>
        <v>2298543.578888889</v>
      </c>
      <c r="BK12" s="318">
        <v>7726370</v>
      </c>
      <c r="BL12" s="313">
        <f>F12+BK12+2220230</f>
        <v>22230600</v>
      </c>
    </row>
    <row r="13" spans="1:64" s="1" customFormat="1" ht="22.5" customHeight="1" thickBot="1">
      <c r="A13" s="3" t="s">
        <v>8</v>
      </c>
      <c r="B13" s="4" t="s">
        <v>9</v>
      </c>
      <c r="C13" s="131">
        <f>C11</f>
        <v>5049.46</v>
      </c>
      <c r="D13" s="166">
        <v>1862034.2316666667</v>
      </c>
      <c r="E13" s="118">
        <v>183085.81000000297</v>
      </c>
      <c r="F13" s="207">
        <f aca="true" t="shared" si="22" ref="F13:AL13">F11+F12</f>
        <v>12296000</v>
      </c>
      <c r="G13" s="102">
        <f t="shared" si="22"/>
        <v>1860000</v>
      </c>
      <c r="H13" s="102">
        <f t="shared" si="22"/>
        <v>1859000</v>
      </c>
      <c r="I13" s="102">
        <f t="shared" si="22"/>
        <v>1859000</v>
      </c>
      <c r="J13" s="102">
        <f t="shared" si="22"/>
        <v>5762000</v>
      </c>
      <c r="K13" s="102">
        <f t="shared" si="22"/>
        <v>6534000</v>
      </c>
      <c r="L13" s="102">
        <f t="shared" si="22"/>
        <v>2178000</v>
      </c>
      <c r="M13" s="102">
        <f t="shared" si="22"/>
        <v>2178000</v>
      </c>
      <c r="N13" s="102">
        <f t="shared" si="22"/>
        <v>2178000</v>
      </c>
      <c r="O13" s="60">
        <f t="shared" si="22"/>
        <v>2002096.98</v>
      </c>
      <c r="P13" s="60">
        <f t="shared" si="22"/>
        <v>0</v>
      </c>
      <c r="Q13" s="60">
        <f t="shared" si="22"/>
        <v>5436.55</v>
      </c>
      <c r="R13" s="60">
        <f t="shared" si="22"/>
        <v>2184059.4</v>
      </c>
      <c r="S13" s="60">
        <f t="shared" si="22"/>
        <v>1873.43</v>
      </c>
      <c r="T13" s="60">
        <f t="shared" si="22"/>
        <v>0</v>
      </c>
      <c r="U13" s="60">
        <f t="shared" si="22"/>
        <v>2348236.2</v>
      </c>
      <c r="V13" s="60">
        <f t="shared" si="22"/>
        <v>1660.05</v>
      </c>
      <c r="W13" s="60">
        <f t="shared" si="22"/>
        <v>3468.12</v>
      </c>
      <c r="X13" s="225">
        <f t="shared" si="22"/>
        <v>6534392.58</v>
      </c>
      <c r="Y13" s="225">
        <f t="shared" si="22"/>
        <v>3533.48</v>
      </c>
      <c r="Z13" s="215">
        <f t="shared" si="22"/>
        <v>8904.67</v>
      </c>
      <c r="AA13" s="60">
        <f t="shared" si="22"/>
        <v>2089633.1700000002</v>
      </c>
      <c r="AB13" s="60">
        <f t="shared" si="22"/>
        <v>4300.3</v>
      </c>
      <c r="AC13" s="60">
        <f t="shared" si="22"/>
        <v>0</v>
      </c>
      <c r="AD13" s="60">
        <f t="shared" si="22"/>
        <v>2372170.8</v>
      </c>
      <c r="AE13" s="60">
        <f t="shared" si="22"/>
        <v>324.25</v>
      </c>
      <c r="AF13" s="60">
        <f t="shared" si="22"/>
        <v>1873.43</v>
      </c>
      <c r="AG13" s="60">
        <f t="shared" si="22"/>
        <v>2325153.55</v>
      </c>
      <c r="AH13" s="60">
        <f t="shared" si="22"/>
        <v>889.81</v>
      </c>
      <c r="AI13" s="70">
        <f t="shared" si="22"/>
        <v>1660.05</v>
      </c>
      <c r="AJ13" s="70">
        <f t="shared" si="22"/>
        <v>6786957.52</v>
      </c>
      <c r="AK13" s="70">
        <f t="shared" si="22"/>
        <v>5514.360000000001</v>
      </c>
      <c r="AL13" s="70">
        <f t="shared" si="22"/>
        <v>3533.48</v>
      </c>
      <c r="AM13" s="67"/>
      <c r="AN13" s="215">
        <f aca="true" t="shared" si="23" ref="AN13:BE13">AN11+AN12</f>
        <v>13504436.1</v>
      </c>
      <c r="AO13" s="215">
        <f t="shared" si="23"/>
        <v>9047.84</v>
      </c>
      <c r="AP13" s="225">
        <f t="shared" si="23"/>
        <v>12438.15</v>
      </c>
      <c r="AQ13" s="385">
        <f t="shared" si="23"/>
        <v>2347199.3</v>
      </c>
      <c r="AR13" s="385">
        <f t="shared" si="23"/>
        <v>736.22</v>
      </c>
      <c r="AS13" s="385">
        <f t="shared" si="23"/>
        <v>4300.3</v>
      </c>
      <c r="AT13" s="385">
        <f t="shared" si="23"/>
        <v>2385857.36</v>
      </c>
      <c r="AU13" s="385">
        <f t="shared" si="23"/>
        <v>0</v>
      </c>
      <c r="AV13" s="411">
        <f t="shared" si="23"/>
        <v>324.25</v>
      </c>
      <c r="AW13" s="354">
        <f t="shared" si="23"/>
        <v>2463469.1</v>
      </c>
      <c r="AX13" s="225">
        <f t="shared" si="23"/>
        <v>1475.42</v>
      </c>
      <c r="AY13" s="225">
        <f t="shared" si="23"/>
        <v>889.81</v>
      </c>
      <c r="AZ13" s="225">
        <f t="shared" si="23"/>
        <v>7196525.76</v>
      </c>
      <c r="BA13" s="225">
        <f t="shared" si="23"/>
        <v>2211.6400000000003</v>
      </c>
      <c r="BB13" s="225">
        <f t="shared" si="23"/>
        <v>5514.360000000001</v>
      </c>
      <c r="BC13" s="225">
        <f t="shared" si="23"/>
        <v>20700961.86</v>
      </c>
      <c r="BD13" s="225">
        <f t="shared" si="23"/>
        <v>11259.48</v>
      </c>
      <c r="BE13" s="225">
        <f t="shared" si="23"/>
        <v>17952.510000000002</v>
      </c>
      <c r="BF13" s="256"/>
      <c r="BG13" s="268"/>
      <c r="BH13" s="269"/>
      <c r="BI13" s="268">
        <f>BI11+BI12</f>
        <v>1205993.8599999996</v>
      </c>
      <c r="BJ13" s="42">
        <f t="shared" si="7"/>
        <v>2300106.873333333</v>
      </c>
      <c r="BK13" s="316">
        <f>BK11+BK12</f>
        <v>7732370</v>
      </c>
      <c r="BL13" s="314">
        <f>BL11+BL12</f>
        <v>22248600</v>
      </c>
    </row>
    <row r="14" spans="1:64" s="1" customFormat="1" ht="16.5" customHeight="1">
      <c r="A14" s="475" t="s">
        <v>6</v>
      </c>
      <c r="B14" s="5" t="s">
        <v>21</v>
      </c>
      <c r="C14" s="128">
        <v>0</v>
      </c>
      <c r="D14" s="162">
        <v>0</v>
      </c>
      <c r="E14" s="95"/>
      <c r="F14" s="90">
        <f>G14+H14+I14</f>
        <v>0</v>
      </c>
      <c r="G14" s="103"/>
      <c r="H14" s="103"/>
      <c r="I14" s="181"/>
      <c r="J14" s="200">
        <f>G14+H14+I14</f>
        <v>0</v>
      </c>
      <c r="K14" s="200"/>
      <c r="L14" s="181"/>
      <c r="M14" s="181">
        <f>L14</f>
        <v>0</v>
      </c>
      <c r="N14" s="103">
        <f>K14-L14-M14</f>
        <v>0</v>
      </c>
      <c r="O14" s="49"/>
      <c r="P14" s="50"/>
      <c r="Q14" s="52"/>
      <c r="R14" s="49"/>
      <c r="S14" s="50"/>
      <c r="T14" s="52"/>
      <c r="U14" s="49"/>
      <c r="V14" s="50"/>
      <c r="W14" s="52"/>
      <c r="X14" s="212">
        <f aca="true" t="shared" si="24" ref="X14:Z16">O14+R14+U14</f>
        <v>0</v>
      </c>
      <c r="Y14" s="213">
        <f t="shared" si="24"/>
        <v>0</v>
      </c>
      <c r="Z14" s="39">
        <f t="shared" si="24"/>
        <v>0</v>
      </c>
      <c r="AA14" s="49"/>
      <c r="AB14" s="51"/>
      <c r="AC14" s="21"/>
      <c r="AD14" s="49"/>
      <c r="AE14" s="51"/>
      <c r="AF14" s="21"/>
      <c r="AG14" s="49"/>
      <c r="AH14" s="51"/>
      <c r="AI14" s="248"/>
      <c r="AJ14" s="212">
        <f aca="true" t="shared" si="25" ref="AJ14:AL16">AA14+AD14+AG14</f>
        <v>0</v>
      </c>
      <c r="AK14" s="213">
        <f t="shared" si="25"/>
        <v>0</v>
      </c>
      <c r="AL14" s="39">
        <f t="shared" si="25"/>
        <v>0</v>
      </c>
      <c r="AN14" s="212">
        <f>X14+AJ14</f>
        <v>0</v>
      </c>
      <c r="AO14" s="213">
        <f>Y14+AK14</f>
        <v>0</v>
      </c>
      <c r="AP14" s="335">
        <f>Z14+AL14</f>
        <v>0</v>
      </c>
      <c r="AQ14" s="382"/>
      <c r="AR14" s="383"/>
      <c r="AS14" s="384"/>
      <c r="AT14" s="382"/>
      <c r="AU14" s="383"/>
      <c r="AV14" s="406"/>
      <c r="AW14" s="349"/>
      <c r="AX14" s="213"/>
      <c r="AY14" s="335"/>
      <c r="AZ14" s="212">
        <f aca="true" t="shared" si="26" ref="AZ14:BB16">AQ14+AT14+AW14</f>
        <v>0</v>
      </c>
      <c r="BA14" s="213">
        <f t="shared" si="26"/>
        <v>0</v>
      </c>
      <c r="BB14" s="39">
        <f t="shared" si="26"/>
        <v>0</v>
      </c>
      <c r="BC14" s="230">
        <f aca="true" t="shared" si="27" ref="BC14:BE16">AN14+AZ14</f>
        <v>0</v>
      </c>
      <c r="BD14" s="231">
        <f t="shared" si="27"/>
        <v>0</v>
      </c>
      <c r="BE14" s="232">
        <f t="shared" si="27"/>
        <v>0</v>
      </c>
      <c r="BF14" s="196"/>
      <c r="BG14" s="263"/>
      <c r="BH14" s="245"/>
      <c r="BI14" s="262">
        <f>AN14-J14</f>
        <v>0</v>
      </c>
      <c r="BJ14" s="42">
        <f t="shared" si="7"/>
        <v>0</v>
      </c>
      <c r="BK14" s="318"/>
      <c r="BL14" s="313">
        <f>F14+BK14</f>
        <v>0</v>
      </c>
    </row>
    <row r="15" spans="1:64" s="1" customFormat="1" ht="19.5" customHeight="1">
      <c r="A15" s="475"/>
      <c r="B15" s="5" t="s">
        <v>27</v>
      </c>
      <c r="C15" s="132"/>
      <c r="D15" s="167">
        <v>6070</v>
      </c>
      <c r="E15" s="80">
        <v>600</v>
      </c>
      <c r="F15" s="90">
        <f>G15+H15+I15+1000+K15</f>
        <v>38000</v>
      </c>
      <c r="G15" s="105">
        <v>7000</v>
      </c>
      <c r="H15" s="105">
        <v>6000</v>
      </c>
      <c r="I15" s="183">
        <v>6000</v>
      </c>
      <c r="J15" s="200">
        <f>G15+H15+I15+1000</f>
        <v>20000</v>
      </c>
      <c r="K15" s="203">
        <v>18000</v>
      </c>
      <c r="L15" s="183">
        <v>6000</v>
      </c>
      <c r="M15" s="181">
        <f>L15</f>
        <v>6000</v>
      </c>
      <c r="N15" s="103">
        <f>K15-L15-M15</f>
        <v>6000</v>
      </c>
      <c r="O15" s="49">
        <v>5280</v>
      </c>
      <c r="P15" s="50"/>
      <c r="Q15" s="52"/>
      <c r="R15" s="49">
        <v>5220</v>
      </c>
      <c r="S15" s="50"/>
      <c r="T15" s="52"/>
      <c r="U15" s="49">
        <v>7200</v>
      </c>
      <c r="V15" s="50"/>
      <c r="W15" s="52"/>
      <c r="X15" s="212">
        <f t="shared" si="24"/>
        <v>17700</v>
      </c>
      <c r="Y15" s="213">
        <f t="shared" si="24"/>
        <v>0</v>
      </c>
      <c r="Z15" s="39">
        <f t="shared" si="24"/>
        <v>0</v>
      </c>
      <c r="AA15" s="49">
        <v>5760</v>
      </c>
      <c r="AB15" s="51"/>
      <c r="AC15" s="21"/>
      <c r="AD15" s="49">
        <v>4800</v>
      </c>
      <c r="AE15" s="51"/>
      <c r="AF15" s="21"/>
      <c r="AG15" s="49">
        <v>6240</v>
      </c>
      <c r="AH15" s="51"/>
      <c r="AI15" s="248"/>
      <c r="AJ15" s="212">
        <f t="shared" si="25"/>
        <v>16800</v>
      </c>
      <c r="AK15" s="213">
        <f t="shared" si="25"/>
        <v>0</v>
      </c>
      <c r="AL15" s="39">
        <f t="shared" si="25"/>
        <v>0</v>
      </c>
      <c r="AN15" s="212">
        <f>X15+AJ15+600</f>
        <v>35100</v>
      </c>
      <c r="AO15" s="213">
        <f>Y15+AK15</f>
        <v>0</v>
      </c>
      <c r="AP15" s="335">
        <f>Z15+AL15</f>
        <v>0</v>
      </c>
      <c r="AQ15" s="248">
        <v>5760</v>
      </c>
      <c r="AR15" s="383"/>
      <c r="AS15" s="384"/>
      <c r="AT15" s="382">
        <v>5520</v>
      </c>
      <c r="AU15" s="383"/>
      <c r="AV15" s="406"/>
      <c r="AW15" s="349">
        <v>5880</v>
      </c>
      <c r="AX15" s="213"/>
      <c r="AY15" s="335"/>
      <c r="AZ15" s="212">
        <f t="shared" si="26"/>
        <v>17160</v>
      </c>
      <c r="BA15" s="213">
        <f t="shared" si="26"/>
        <v>0</v>
      </c>
      <c r="BB15" s="39">
        <f t="shared" si="26"/>
        <v>0</v>
      </c>
      <c r="BC15" s="230">
        <f t="shared" si="27"/>
        <v>52260</v>
      </c>
      <c r="BD15" s="231">
        <f t="shared" si="27"/>
        <v>0</v>
      </c>
      <c r="BE15" s="232">
        <f t="shared" si="27"/>
        <v>0</v>
      </c>
      <c r="BF15" s="196"/>
      <c r="BG15" s="263"/>
      <c r="BH15" s="245">
        <f>BL15-BC15</f>
        <v>20360</v>
      </c>
      <c r="BI15" s="270">
        <f>AN15-F15</f>
        <v>-2900</v>
      </c>
      <c r="BJ15" s="42">
        <f t="shared" si="7"/>
        <v>5806.666666666667</v>
      </c>
      <c r="BK15" s="318">
        <v>34620</v>
      </c>
      <c r="BL15" s="313">
        <f>F15+BK15</f>
        <v>72620</v>
      </c>
    </row>
    <row r="16" spans="1:64" s="1" customFormat="1" ht="20.25" customHeight="1" thickBot="1">
      <c r="A16" s="475"/>
      <c r="B16" s="13" t="s">
        <v>28</v>
      </c>
      <c r="C16" s="129"/>
      <c r="D16" s="163">
        <v>110143.67333333334</v>
      </c>
      <c r="E16" s="96">
        <v>13914.080000000075</v>
      </c>
      <c r="F16" s="90">
        <f>J16+K16</f>
        <v>743000</v>
      </c>
      <c r="G16" s="101">
        <v>109000</v>
      </c>
      <c r="H16" s="101">
        <v>109000</v>
      </c>
      <c r="I16" s="182">
        <v>109000</v>
      </c>
      <c r="J16" s="200">
        <f>G16+H16+I16+14000</f>
        <v>341000</v>
      </c>
      <c r="K16" s="201">
        <v>402000</v>
      </c>
      <c r="L16" s="182">
        <v>134000</v>
      </c>
      <c r="M16" s="181">
        <f>L16</f>
        <v>134000</v>
      </c>
      <c r="N16" s="103">
        <f>K16-L16-M16</f>
        <v>134000</v>
      </c>
      <c r="O16" s="49">
        <v>118312</v>
      </c>
      <c r="P16" s="50"/>
      <c r="Q16" s="52"/>
      <c r="R16" s="49">
        <v>131180.6</v>
      </c>
      <c r="S16" s="50"/>
      <c r="T16" s="52"/>
      <c r="U16" s="49">
        <v>131436.4</v>
      </c>
      <c r="V16" s="50"/>
      <c r="W16" s="52"/>
      <c r="X16" s="212">
        <f t="shared" si="24"/>
        <v>380929</v>
      </c>
      <c r="Y16" s="213">
        <f t="shared" si="24"/>
        <v>0</v>
      </c>
      <c r="Z16" s="39">
        <f t="shared" si="24"/>
        <v>0</v>
      </c>
      <c r="AA16" s="49">
        <v>117171</v>
      </c>
      <c r="AB16" s="51"/>
      <c r="AC16" s="21"/>
      <c r="AD16" s="49">
        <v>144424.6</v>
      </c>
      <c r="AE16" s="51"/>
      <c r="AF16" s="21"/>
      <c r="AG16" s="49">
        <v>132840</v>
      </c>
      <c r="AH16" s="51"/>
      <c r="AI16" s="248"/>
      <c r="AJ16" s="212">
        <f t="shared" si="25"/>
        <v>394435.6</v>
      </c>
      <c r="AK16" s="213">
        <f t="shared" si="25"/>
        <v>0</v>
      </c>
      <c r="AL16" s="39">
        <f t="shared" si="25"/>
        <v>0</v>
      </c>
      <c r="AN16" s="212">
        <f>X16+AJ16+13914</f>
        <v>789278.6</v>
      </c>
      <c r="AO16" s="213">
        <f>Y16+AK16</f>
        <v>0</v>
      </c>
      <c r="AP16" s="335">
        <f>Z16+AL16</f>
        <v>0</v>
      </c>
      <c r="AQ16" s="248">
        <v>125982.6</v>
      </c>
      <c r="AR16" s="383"/>
      <c r="AS16" s="384"/>
      <c r="AT16" s="382">
        <v>141176.4</v>
      </c>
      <c r="AU16" s="383"/>
      <c r="AV16" s="406"/>
      <c r="AW16" s="349">
        <v>136633.8</v>
      </c>
      <c r="AX16" s="213"/>
      <c r="AY16" s="335"/>
      <c r="AZ16" s="212">
        <f t="shared" si="26"/>
        <v>403792.8</v>
      </c>
      <c r="BA16" s="213">
        <f t="shared" si="26"/>
        <v>0</v>
      </c>
      <c r="BB16" s="39">
        <f t="shared" si="26"/>
        <v>0</v>
      </c>
      <c r="BC16" s="230">
        <f t="shared" si="27"/>
        <v>1193071.4</v>
      </c>
      <c r="BD16" s="231">
        <f t="shared" si="27"/>
        <v>0</v>
      </c>
      <c r="BE16" s="232">
        <f t="shared" si="27"/>
        <v>0</v>
      </c>
      <c r="BF16" s="196"/>
      <c r="BG16" s="263"/>
      <c r="BH16" s="245">
        <f>BL16-BC16</f>
        <v>389928.6000000001</v>
      </c>
      <c r="BI16" s="267">
        <f>AN16-F16</f>
        <v>46278.59999999998</v>
      </c>
      <c r="BJ16" s="42">
        <f t="shared" si="7"/>
        <v>132563.48888888888</v>
      </c>
      <c r="BK16" s="318">
        <v>840000</v>
      </c>
      <c r="BL16" s="313">
        <f>F16+BK16</f>
        <v>1583000</v>
      </c>
    </row>
    <row r="17" spans="1:64" s="9" customFormat="1" ht="20.25" customHeight="1" thickBot="1">
      <c r="A17" s="3" t="s">
        <v>8</v>
      </c>
      <c r="B17" s="4" t="s">
        <v>11</v>
      </c>
      <c r="C17" s="226">
        <v>0</v>
      </c>
      <c r="D17" s="168">
        <v>116213.67333333334</v>
      </c>
      <c r="E17" s="447">
        <v>14514.080000000075</v>
      </c>
      <c r="F17" s="102">
        <f aca="true" t="shared" si="28" ref="F17:AL17">F15+F16</f>
        <v>781000</v>
      </c>
      <c r="G17" s="149">
        <f t="shared" si="28"/>
        <v>116000</v>
      </c>
      <c r="H17" s="149">
        <f t="shared" si="28"/>
        <v>115000</v>
      </c>
      <c r="I17" s="149">
        <f t="shared" si="28"/>
        <v>115000</v>
      </c>
      <c r="J17" s="102">
        <f t="shared" si="28"/>
        <v>361000</v>
      </c>
      <c r="K17" s="102">
        <f t="shared" si="28"/>
        <v>420000</v>
      </c>
      <c r="L17" s="102">
        <f t="shared" si="28"/>
        <v>140000</v>
      </c>
      <c r="M17" s="102">
        <f t="shared" si="28"/>
        <v>140000</v>
      </c>
      <c r="N17" s="102">
        <f t="shared" si="28"/>
        <v>140000</v>
      </c>
      <c r="O17" s="216">
        <f t="shared" si="28"/>
        <v>123592</v>
      </c>
      <c r="P17" s="216">
        <f t="shared" si="28"/>
        <v>0</v>
      </c>
      <c r="Q17" s="216">
        <f t="shared" si="28"/>
        <v>0</v>
      </c>
      <c r="R17" s="216">
        <f t="shared" si="28"/>
        <v>136400.6</v>
      </c>
      <c r="S17" s="216">
        <f t="shared" si="28"/>
        <v>0</v>
      </c>
      <c r="T17" s="216">
        <f t="shared" si="28"/>
        <v>0</v>
      </c>
      <c r="U17" s="216">
        <f t="shared" si="28"/>
        <v>138636.4</v>
      </c>
      <c r="V17" s="216">
        <f t="shared" si="28"/>
        <v>0</v>
      </c>
      <c r="W17" s="216">
        <f t="shared" si="28"/>
        <v>0</v>
      </c>
      <c r="X17" s="226">
        <f t="shared" si="28"/>
        <v>398629</v>
      </c>
      <c r="Y17" s="226">
        <f t="shared" si="28"/>
        <v>0</v>
      </c>
      <c r="Z17" s="216">
        <f t="shared" si="28"/>
        <v>0</v>
      </c>
      <c r="AA17" s="216">
        <f t="shared" si="28"/>
        <v>122931</v>
      </c>
      <c r="AB17" s="216">
        <f t="shared" si="28"/>
        <v>0</v>
      </c>
      <c r="AC17" s="216">
        <f t="shared" si="28"/>
        <v>0</v>
      </c>
      <c r="AD17" s="216">
        <f t="shared" si="28"/>
        <v>149224.6</v>
      </c>
      <c r="AE17" s="216">
        <f t="shared" si="28"/>
        <v>0</v>
      </c>
      <c r="AF17" s="216">
        <f t="shared" si="28"/>
        <v>0</v>
      </c>
      <c r="AG17" s="216">
        <f t="shared" si="28"/>
        <v>139080</v>
      </c>
      <c r="AH17" s="216">
        <f t="shared" si="28"/>
        <v>0</v>
      </c>
      <c r="AI17" s="226">
        <f t="shared" si="28"/>
        <v>0</v>
      </c>
      <c r="AJ17" s="226">
        <f t="shared" si="28"/>
        <v>411235.6</v>
      </c>
      <c r="AK17" s="226">
        <f t="shared" si="28"/>
        <v>0</v>
      </c>
      <c r="AL17" s="226">
        <f t="shared" si="28"/>
        <v>0</v>
      </c>
      <c r="AM17" s="257"/>
      <c r="AN17" s="216">
        <f aca="true" t="shared" si="29" ref="AN17:BE17">AN15+AN16</f>
        <v>824378.6</v>
      </c>
      <c r="AO17" s="216">
        <f t="shared" si="29"/>
        <v>0</v>
      </c>
      <c r="AP17" s="226">
        <f t="shared" si="29"/>
        <v>0</v>
      </c>
      <c r="AQ17" s="226">
        <f t="shared" si="29"/>
        <v>131742.6</v>
      </c>
      <c r="AR17" s="226">
        <f t="shared" si="29"/>
        <v>0</v>
      </c>
      <c r="AS17" s="226">
        <f t="shared" si="29"/>
        <v>0</v>
      </c>
      <c r="AT17" s="226">
        <f t="shared" si="29"/>
        <v>146696.4</v>
      </c>
      <c r="AU17" s="226">
        <f t="shared" si="29"/>
        <v>0</v>
      </c>
      <c r="AV17" s="216">
        <f t="shared" si="29"/>
        <v>0</v>
      </c>
      <c r="AW17" s="355">
        <f t="shared" si="29"/>
        <v>142513.8</v>
      </c>
      <c r="AX17" s="226">
        <f t="shared" si="29"/>
        <v>0</v>
      </c>
      <c r="AY17" s="226">
        <f t="shared" si="29"/>
        <v>0</v>
      </c>
      <c r="AZ17" s="226">
        <f t="shared" si="29"/>
        <v>420952.8</v>
      </c>
      <c r="BA17" s="226">
        <f t="shared" si="29"/>
        <v>0</v>
      </c>
      <c r="BB17" s="226">
        <f t="shared" si="29"/>
        <v>0</v>
      </c>
      <c r="BC17" s="225">
        <f t="shared" si="29"/>
        <v>1245331.4</v>
      </c>
      <c r="BD17" s="225">
        <f t="shared" si="29"/>
        <v>0</v>
      </c>
      <c r="BE17" s="215">
        <f t="shared" si="29"/>
        <v>0</v>
      </c>
      <c r="BF17" s="257"/>
      <c r="BG17" s="448"/>
      <c r="BH17" s="449"/>
      <c r="BI17" s="450">
        <f>BI15+BI16</f>
        <v>43378.59999999998</v>
      </c>
      <c r="BJ17" s="42">
        <f t="shared" si="7"/>
        <v>138370.15555555554</v>
      </c>
      <c r="BK17" s="316">
        <f>BK15+BK16</f>
        <v>874620</v>
      </c>
      <c r="BL17" s="314">
        <f>BL15+BL16</f>
        <v>1655620</v>
      </c>
    </row>
    <row r="18" spans="1:64" s="1" customFormat="1" ht="21" customHeight="1" thickBot="1">
      <c r="A18" s="457" t="s">
        <v>10</v>
      </c>
      <c r="B18" s="472"/>
      <c r="C18" s="130"/>
      <c r="D18" s="165">
        <v>0</v>
      </c>
      <c r="E18" s="119"/>
      <c r="F18" s="90">
        <f>G18+H18+I18</f>
        <v>0</v>
      </c>
      <c r="G18" s="106"/>
      <c r="H18" s="106"/>
      <c r="I18" s="184"/>
      <c r="J18" s="200">
        <f>G18+H18+I18</f>
        <v>0</v>
      </c>
      <c r="K18" s="206"/>
      <c r="L18" s="223"/>
      <c r="M18" s="181">
        <f>L18</f>
        <v>0</v>
      </c>
      <c r="N18" s="103">
        <f>K18-L18-M18</f>
        <v>0</v>
      </c>
      <c r="O18" s="138"/>
      <c r="P18" s="134"/>
      <c r="Q18" s="126"/>
      <c r="R18" s="138"/>
      <c r="S18" s="134"/>
      <c r="T18" s="126"/>
      <c r="U18" s="138"/>
      <c r="V18" s="134"/>
      <c r="W18" s="126"/>
      <c r="X18" s="227">
        <f aca="true" t="shared" si="30" ref="X18:Z20">O18+R18+U18</f>
        <v>0</v>
      </c>
      <c r="Y18" s="228">
        <f t="shared" si="30"/>
        <v>0</v>
      </c>
      <c r="Z18" s="229">
        <f t="shared" si="30"/>
        <v>0</v>
      </c>
      <c r="AA18" s="138"/>
      <c r="AB18" s="145"/>
      <c r="AC18" s="26"/>
      <c r="AD18" s="138"/>
      <c r="AE18" s="145"/>
      <c r="AF18" s="26"/>
      <c r="AG18" s="138"/>
      <c r="AH18" s="145"/>
      <c r="AI18" s="249"/>
      <c r="AJ18" s="212">
        <f aca="true" t="shared" si="31" ref="AJ18:AL20">AA18+AD18+AG18</f>
        <v>0</v>
      </c>
      <c r="AK18" s="213">
        <f t="shared" si="31"/>
        <v>0</v>
      </c>
      <c r="AL18" s="39">
        <f t="shared" si="31"/>
        <v>0</v>
      </c>
      <c r="AM18" s="150"/>
      <c r="AN18" s="212">
        <f aca="true" t="shared" si="32" ref="AN18:AP20">X18+AJ18</f>
        <v>0</v>
      </c>
      <c r="AO18" s="213">
        <f t="shared" si="32"/>
        <v>0</v>
      </c>
      <c r="AP18" s="335">
        <f t="shared" si="32"/>
        <v>0</v>
      </c>
      <c r="AQ18" s="382"/>
      <c r="AR18" s="383"/>
      <c r="AS18" s="384"/>
      <c r="AT18" s="382"/>
      <c r="AU18" s="383"/>
      <c r="AV18" s="406"/>
      <c r="AW18" s="349"/>
      <c r="AX18" s="213"/>
      <c r="AY18" s="335"/>
      <c r="AZ18" s="212">
        <f aca="true" t="shared" si="33" ref="AZ18:BB20">AQ18+AT18+AW18</f>
        <v>0</v>
      </c>
      <c r="BA18" s="213">
        <f t="shared" si="33"/>
        <v>0</v>
      </c>
      <c r="BB18" s="39">
        <f t="shared" si="33"/>
        <v>0</v>
      </c>
      <c r="BC18" s="230">
        <f aca="true" t="shared" si="34" ref="BC18:BE20">AN18+AZ18</f>
        <v>0</v>
      </c>
      <c r="BD18" s="231">
        <f t="shared" si="34"/>
        <v>0</v>
      </c>
      <c r="BE18" s="232">
        <f t="shared" si="34"/>
        <v>0</v>
      </c>
      <c r="BF18" s="198"/>
      <c r="BG18" s="263"/>
      <c r="BH18" s="245"/>
      <c r="BI18" s="271">
        <f>AN18-J18</f>
        <v>0</v>
      </c>
      <c r="BJ18" s="42">
        <f t="shared" si="7"/>
        <v>0</v>
      </c>
      <c r="BK18" s="318"/>
      <c r="BL18" s="313">
        <f>F18+BK18</f>
        <v>0</v>
      </c>
    </row>
    <row r="19" spans="1:64" s="1" customFormat="1" ht="18" customHeight="1">
      <c r="A19" s="473" t="s">
        <v>33</v>
      </c>
      <c r="B19" s="5" t="s">
        <v>12</v>
      </c>
      <c r="C19" s="128">
        <v>25675.69</v>
      </c>
      <c r="D19" s="162">
        <v>5790.2425</v>
      </c>
      <c r="E19" s="95">
        <v>-13179.77</v>
      </c>
      <c r="F19" s="90">
        <f>G19+H19+I19+K19</f>
        <v>18000</v>
      </c>
      <c r="G19" s="103">
        <v>3000</v>
      </c>
      <c r="H19" s="103">
        <v>3000</v>
      </c>
      <c r="I19" s="181">
        <v>3000</v>
      </c>
      <c r="J19" s="200">
        <f>G19+H19+I19</f>
        <v>9000</v>
      </c>
      <c r="K19" s="200">
        <v>9000</v>
      </c>
      <c r="L19" s="181">
        <v>3000</v>
      </c>
      <c r="M19" s="181">
        <f>L19</f>
        <v>3000</v>
      </c>
      <c r="N19" s="103">
        <f>K19-L19-M19</f>
        <v>3000</v>
      </c>
      <c r="O19" s="55">
        <v>0</v>
      </c>
      <c r="P19" s="56"/>
      <c r="Q19" s="73"/>
      <c r="R19" s="55">
        <v>0</v>
      </c>
      <c r="S19" s="56"/>
      <c r="T19" s="73"/>
      <c r="U19" s="55">
        <v>7357.81</v>
      </c>
      <c r="V19" s="56"/>
      <c r="W19" s="73">
        <v>16820.23</v>
      </c>
      <c r="X19" s="230">
        <f t="shared" si="30"/>
        <v>7357.81</v>
      </c>
      <c r="Y19" s="231">
        <f t="shared" si="30"/>
        <v>0</v>
      </c>
      <c r="Z19" s="232">
        <f t="shared" si="30"/>
        <v>16820.23</v>
      </c>
      <c r="AA19" s="55">
        <v>3459.66</v>
      </c>
      <c r="AB19" s="57">
        <v>2943</v>
      </c>
      <c r="AC19" s="23"/>
      <c r="AD19" s="55">
        <v>17660.15</v>
      </c>
      <c r="AE19" s="57">
        <v>4905</v>
      </c>
      <c r="AF19" s="23"/>
      <c r="AG19" s="55">
        <v>0</v>
      </c>
      <c r="AH19" s="57">
        <v>9810</v>
      </c>
      <c r="AI19" s="250">
        <v>7.74</v>
      </c>
      <c r="AJ19" s="212">
        <f t="shared" si="31"/>
        <v>21119.81</v>
      </c>
      <c r="AK19" s="213">
        <f t="shared" si="31"/>
        <v>17658</v>
      </c>
      <c r="AL19" s="39">
        <f t="shared" si="31"/>
        <v>7.74</v>
      </c>
      <c r="AN19" s="212">
        <f t="shared" si="32"/>
        <v>28477.620000000003</v>
      </c>
      <c r="AO19" s="213">
        <f t="shared" si="32"/>
        <v>17658</v>
      </c>
      <c r="AP19" s="335">
        <f t="shared" si="32"/>
        <v>16827.97</v>
      </c>
      <c r="AQ19" s="382">
        <v>9810</v>
      </c>
      <c r="AR19" s="383"/>
      <c r="AS19" s="384">
        <v>2935.26</v>
      </c>
      <c r="AT19" s="382">
        <v>0</v>
      </c>
      <c r="AU19" s="383"/>
      <c r="AV19" s="406">
        <v>2944.74</v>
      </c>
      <c r="AW19" s="349">
        <v>8970.07</v>
      </c>
      <c r="AX19" s="213">
        <v>9810</v>
      </c>
      <c r="AY19" s="335">
        <v>20770</v>
      </c>
      <c r="AZ19" s="212">
        <f t="shared" si="33"/>
        <v>18780.07</v>
      </c>
      <c r="BA19" s="213">
        <f t="shared" si="33"/>
        <v>9810</v>
      </c>
      <c r="BB19" s="39">
        <f t="shared" si="33"/>
        <v>26650</v>
      </c>
      <c r="BC19" s="230">
        <f t="shared" si="34"/>
        <v>47257.69</v>
      </c>
      <c r="BD19" s="231">
        <f t="shared" si="34"/>
        <v>27468</v>
      </c>
      <c r="BE19" s="232">
        <f t="shared" si="34"/>
        <v>43477.97</v>
      </c>
      <c r="BF19" s="195">
        <f>C19+BD19-BC19</f>
        <v>5886</v>
      </c>
      <c r="BG19" s="263">
        <f>BL19-BD19</f>
        <v>17972</v>
      </c>
      <c r="BH19" s="245"/>
      <c r="BI19" s="270">
        <f>AO19-F19</f>
        <v>-342</v>
      </c>
      <c r="BJ19" s="42">
        <f t="shared" si="7"/>
        <v>5250.854444444445</v>
      </c>
      <c r="BK19" s="318">
        <v>17100</v>
      </c>
      <c r="BL19" s="313">
        <f>F19+BK19+10340</f>
        <v>45440</v>
      </c>
    </row>
    <row r="20" spans="1:64" s="1" customFormat="1" ht="18" customHeight="1" thickBot="1">
      <c r="A20" s="474"/>
      <c r="B20" s="13" t="s">
        <v>13</v>
      </c>
      <c r="C20" s="129">
        <v>17566.22</v>
      </c>
      <c r="D20" s="163">
        <v>8237.859166666667</v>
      </c>
      <c r="E20" s="96">
        <v>-3451.75</v>
      </c>
      <c r="F20" s="90">
        <f>G20+H20+I20+K20</f>
        <v>54000</v>
      </c>
      <c r="G20" s="101">
        <v>9000</v>
      </c>
      <c r="H20" s="101">
        <v>9000</v>
      </c>
      <c r="I20" s="182">
        <v>9000</v>
      </c>
      <c r="J20" s="200">
        <f>G20+H20+I20</f>
        <v>27000</v>
      </c>
      <c r="K20" s="201">
        <v>27000</v>
      </c>
      <c r="L20" s="182">
        <v>9000</v>
      </c>
      <c r="M20" s="181">
        <f>L20</f>
        <v>9000</v>
      </c>
      <c r="N20" s="103">
        <f>K20-L20-M20</f>
        <v>9000</v>
      </c>
      <c r="O20" s="49">
        <v>8320.84</v>
      </c>
      <c r="P20" s="50"/>
      <c r="Q20" s="52"/>
      <c r="R20" s="49">
        <v>8320.84</v>
      </c>
      <c r="S20" s="50"/>
      <c r="T20" s="52">
        <v>25886.95</v>
      </c>
      <c r="U20" s="49">
        <v>8709.76</v>
      </c>
      <c r="V20" s="50">
        <v>16348.96</v>
      </c>
      <c r="W20" s="52">
        <v>7766.12</v>
      </c>
      <c r="X20" s="212">
        <f t="shared" si="30"/>
        <v>25351.440000000002</v>
      </c>
      <c r="Y20" s="213">
        <f t="shared" si="30"/>
        <v>16348.96</v>
      </c>
      <c r="Z20" s="39">
        <f t="shared" si="30"/>
        <v>33653.07</v>
      </c>
      <c r="AA20" s="49">
        <v>5838.92</v>
      </c>
      <c r="AB20" s="51"/>
      <c r="AC20" s="21"/>
      <c r="AD20" s="49">
        <v>11677.82</v>
      </c>
      <c r="AE20" s="51">
        <v>16348.96</v>
      </c>
      <c r="AF20" s="21"/>
      <c r="AG20" s="49">
        <v>8758.37</v>
      </c>
      <c r="AH20" s="51">
        <v>10899.3</v>
      </c>
      <c r="AI20" s="248">
        <v>16348.96</v>
      </c>
      <c r="AJ20" s="212">
        <f t="shared" si="31"/>
        <v>26275.11</v>
      </c>
      <c r="AK20" s="213">
        <f t="shared" si="31"/>
        <v>27248.26</v>
      </c>
      <c r="AL20" s="39">
        <f t="shared" si="31"/>
        <v>16348.96</v>
      </c>
      <c r="AN20" s="212">
        <f t="shared" si="32"/>
        <v>51626.55</v>
      </c>
      <c r="AO20" s="213">
        <f t="shared" si="32"/>
        <v>43597.22</v>
      </c>
      <c r="AP20" s="335">
        <f t="shared" si="32"/>
        <v>50002.03</v>
      </c>
      <c r="AQ20" s="382">
        <v>8758.37</v>
      </c>
      <c r="AR20" s="383">
        <v>10899.3</v>
      </c>
      <c r="AS20" s="384"/>
      <c r="AT20" s="382">
        <v>8758.37</v>
      </c>
      <c r="AU20" s="383">
        <v>19073.78</v>
      </c>
      <c r="AV20" s="406"/>
      <c r="AW20" s="349">
        <v>8758.37</v>
      </c>
      <c r="AX20" s="213"/>
      <c r="AY20" s="335"/>
      <c r="AZ20" s="212">
        <f t="shared" si="33"/>
        <v>26275.11</v>
      </c>
      <c r="BA20" s="213">
        <f t="shared" si="33"/>
        <v>29973.079999999998</v>
      </c>
      <c r="BB20" s="39">
        <f t="shared" si="33"/>
        <v>0</v>
      </c>
      <c r="BC20" s="230">
        <f t="shared" si="34"/>
        <v>77901.66</v>
      </c>
      <c r="BD20" s="231">
        <f t="shared" si="34"/>
        <v>73570.3</v>
      </c>
      <c r="BE20" s="232">
        <f t="shared" si="34"/>
        <v>50002.03</v>
      </c>
      <c r="BF20" s="195">
        <f>C20+BD20-BC20</f>
        <v>13234.86</v>
      </c>
      <c r="BG20" s="263">
        <f>BL20-BD20</f>
        <v>21049.699999999997</v>
      </c>
      <c r="BH20" s="245"/>
      <c r="BI20" s="270">
        <f>AO20-F20</f>
        <v>-10402.779999999999</v>
      </c>
      <c r="BJ20" s="42">
        <f t="shared" si="7"/>
        <v>8655.74</v>
      </c>
      <c r="BK20" s="318">
        <v>37900</v>
      </c>
      <c r="BL20" s="313">
        <f>F20+BK20+2720</f>
        <v>94620</v>
      </c>
    </row>
    <row r="21" spans="1:64" s="1" customFormat="1" ht="19.5" customHeight="1" thickBot="1">
      <c r="A21" s="457" t="s">
        <v>14</v>
      </c>
      <c r="B21" s="472"/>
      <c r="C21" s="70">
        <v>43241.92</v>
      </c>
      <c r="D21" s="164">
        <v>14028.10166666667</v>
      </c>
      <c r="E21" s="70">
        <v>-16631.52</v>
      </c>
      <c r="F21" s="102">
        <f aca="true" t="shared" si="35" ref="F21:AL21">F19+F20</f>
        <v>72000</v>
      </c>
      <c r="G21" s="102">
        <f t="shared" si="35"/>
        <v>12000</v>
      </c>
      <c r="H21" s="102">
        <f t="shared" si="35"/>
        <v>12000</v>
      </c>
      <c r="I21" s="102">
        <f t="shared" si="35"/>
        <v>12000</v>
      </c>
      <c r="J21" s="102">
        <f t="shared" si="35"/>
        <v>36000</v>
      </c>
      <c r="K21" s="102">
        <f t="shared" si="35"/>
        <v>36000</v>
      </c>
      <c r="L21" s="102">
        <f t="shared" si="35"/>
        <v>12000</v>
      </c>
      <c r="M21" s="102">
        <f t="shared" si="35"/>
        <v>12000</v>
      </c>
      <c r="N21" s="102">
        <f t="shared" si="35"/>
        <v>12000</v>
      </c>
      <c r="O21" s="60">
        <f t="shared" si="35"/>
        <v>8320.84</v>
      </c>
      <c r="P21" s="60">
        <f t="shared" si="35"/>
        <v>0</v>
      </c>
      <c r="Q21" s="60">
        <f t="shared" si="35"/>
        <v>0</v>
      </c>
      <c r="R21" s="60">
        <f t="shared" si="35"/>
        <v>8320.84</v>
      </c>
      <c r="S21" s="60">
        <f t="shared" si="35"/>
        <v>0</v>
      </c>
      <c r="T21" s="60">
        <f t="shared" si="35"/>
        <v>25886.95</v>
      </c>
      <c r="U21" s="60">
        <f t="shared" si="35"/>
        <v>16067.57</v>
      </c>
      <c r="V21" s="60">
        <f t="shared" si="35"/>
        <v>16348.96</v>
      </c>
      <c r="W21" s="60">
        <f t="shared" si="35"/>
        <v>24586.35</v>
      </c>
      <c r="X21" s="225">
        <f t="shared" si="35"/>
        <v>32709.250000000004</v>
      </c>
      <c r="Y21" s="225">
        <f t="shared" si="35"/>
        <v>16348.96</v>
      </c>
      <c r="Z21" s="215">
        <f t="shared" si="35"/>
        <v>50473.3</v>
      </c>
      <c r="AA21" s="60">
        <f t="shared" si="35"/>
        <v>9298.58</v>
      </c>
      <c r="AB21" s="60">
        <f t="shared" si="35"/>
        <v>2943</v>
      </c>
      <c r="AC21" s="60">
        <f t="shared" si="35"/>
        <v>0</v>
      </c>
      <c r="AD21" s="60">
        <f t="shared" si="35"/>
        <v>29337.97</v>
      </c>
      <c r="AE21" s="60">
        <f t="shared" si="35"/>
        <v>21253.96</v>
      </c>
      <c r="AF21" s="60">
        <f t="shared" si="35"/>
        <v>0</v>
      </c>
      <c r="AG21" s="60">
        <f t="shared" si="35"/>
        <v>8758.37</v>
      </c>
      <c r="AH21" s="60">
        <f t="shared" si="35"/>
        <v>20709.3</v>
      </c>
      <c r="AI21" s="70">
        <f t="shared" si="35"/>
        <v>16356.699999999999</v>
      </c>
      <c r="AJ21" s="70">
        <f t="shared" si="35"/>
        <v>47394.92</v>
      </c>
      <c r="AK21" s="70">
        <f t="shared" si="35"/>
        <v>44906.259999999995</v>
      </c>
      <c r="AL21" s="70">
        <f t="shared" si="35"/>
        <v>16356.699999999999</v>
      </c>
      <c r="AM21" s="67"/>
      <c r="AN21" s="215">
        <f aca="true" t="shared" si="36" ref="AN21:BI21">AN19+AN20</f>
        <v>80104.17000000001</v>
      </c>
      <c r="AO21" s="215">
        <f t="shared" si="36"/>
        <v>61255.22</v>
      </c>
      <c r="AP21" s="225">
        <f t="shared" si="36"/>
        <v>66830</v>
      </c>
      <c r="AQ21" s="385">
        <f t="shared" si="36"/>
        <v>18568.370000000003</v>
      </c>
      <c r="AR21" s="385">
        <f t="shared" si="36"/>
        <v>10899.3</v>
      </c>
      <c r="AS21" s="385">
        <f t="shared" si="36"/>
        <v>2935.26</v>
      </c>
      <c r="AT21" s="385">
        <f t="shared" si="36"/>
        <v>8758.37</v>
      </c>
      <c r="AU21" s="385">
        <f t="shared" si="36"/>
        <v>19073.78</v>
      </c>
      <c r="AV21" s="411">
        <f t="shared" si="36"/>
        <v>2944.74</v>
      </c>
      <c r="AW21" s="354">
        <f t="shared" si="36"/>
        <v>17728.440000000002</v>
      </c>
      <c r="AX21" s="225">
        <f t="shared" si="36"/>
        <v>9810</v>
      </c>
      <c r="AY21" s="225">
        <f t="shared" si="36"/>
        <v>20770</v>
      </c>
      <c r="AZ21" s="225">
        <f t="shared" si="36"/>
        <v>45055.18</v>
      </c>
      <c r="BA21" s="225">
        <f t="shared" si="36"/>
        <v>39783.08</v>
      </c>
      <c r="BB21" s="225">
        <f t="shared" si="36"/>
        <v>26650</v>
      </c>
      <c r="BC21" s="225">
        <f t="shared" si="36"/>
        <v>125159.35</v>
      </c>
      <c r="BD21" s="225">
        <f t="shared" si="36"/>
        <v>101038.3</v>
      </c>
      <c r="BE21" s="225">
        <f t="shared" si="36"/>
        <v>93480</v>
      </c>
      <c r="BF21" s="199">
        <f t="shared" si="36"/>
        <v>19120.86</v>
      </c>
      <c r="BG21" s="161">
        <f t="shared" si="36"/>
        <v>39021.7</v>
      </c>
      <c r="BH21" s="161">
        <f t="shared" si="36"/>
        <v>0</v>
      </c>
      <c r="BI21" s="272">
        <f t="shared" si="36"/>
        <v>-10744.779999999999</v>
      </c>
      <c r="BJ21" s="42">
        <f t="shared" si="7"/>
        <v>13906.594444444445</v>
      </c>
      <c r="BK21" s="320">
        <f>BK19+BK20</f>
        <v>55000</v>
      </c>
      <c r="BL21" s="315">
        <f>BL19+BL20</f>
        <v>140060</v>
      </c>
    </row>
    <row r="22" spans="1:64" s="1" customFormat="1" ht="18" customHeight="1">
      <c r="A22" s="473" t="s">
        <v>32</v>
      </c>
      <c r="B22" s="5" t="s">
        <v>0</v>
      </c>
      <c r="C22" s="128"/>
      <c r="D22" s="162">
        <v>2450.7866666666664</v>
      </c>
      <c r="E22" s="98">
        <v>1689.44</v>
      </c>
      <c r="F22" s="90">
        <f>J22+K22</f>
        <v>17000</v>
      </c>
      <c r="G22" s="103">
        <v>2000</v>
      </c>
      <c r="H22" s="103">
        <v>2000</v>
      </c>
      <c r="I22" s="181">
        <v>2000</v>
      </c>
      <c r="J22" s="200">
        <v>8000</v>
      </c>
      <c r="K22" s="200">
        <v>9000</v>
      </c>
      <c r="L22" s="181">
        <v>3000</v>
      </c>
      <c r="M22" s="181">
        <f>L22</f>
        <v>3000</v>
      </c>
      <c r="N22" s="103">
        <f>K22-L22-M22</f>
        <v>3000</v>
      </c>
      <c r="O22" s="49">
        <v>2197.13</v>
      </c>
      <c r="P22" s="50"/>
      <c r="Q22" s="52"/>
      <c r="R22" s="49">
        <v>3515.41</v>
      </c>
      <c r="S22" s="50"/>
      <c r="T22" s="52"/>
      <c r="U22" s="49">
        <v>1318.28</v>
      </c>
      <c r="V22" s="50"/>
      <c r="W22" s="52"/>
      <c r="X22" s="212">
        <f aca="true" t="shared" si="37" ref="X22:Z25">O22+R22+U22</f>
        <v>7030.82</v>
      </c>
      <c r="Y22" s="213">
        <f t="shared" si="37"/>
        <v>0</v>
      </c>
      <c r="Z22" s="39">
        <f t="shared" si="37"/>
        <v>0</v>
      </c>
      <c r="AA22" s="49">
        <v>1318.27</v>
      </c>
      <c r="AB22" s="51"/>
      <c r="AC22" s="21"/>
      <c r="AD22" s="49">
        <v>3515.41</v>
      </c>
      <c r="AE22" s="51"/>
      <c r="AF22" s="21"/>
      <c r="AG22" s="49">
        <v>2636.56</v>
      </c>
      <c r="AH22" s="51"/>
      <c r="AI22" s="248"/>
      <c r="AJ22" s="212">
        <f aca="true" t="shared" si="38" ref="AJ22:AL25">AA22+AD22+AG22</f>
        <v>7470.24</v>
      </c>
      <c r="AK22" s="213">
        <f t="shared" si="38"/>
        <v>0</v>
      </c>
      <c r="AL22" s="39">
        <f t="shared" si="38"/>
        <v>0</v>
      </c>
      <c r="AN22" s="212">
        <f>X22+AJ22+1689</f>
        <v>16190.06</v>
      </c>
      <c r="AO22" s="213">
        <f aca="true" t="shared" si="39" ref="AO22:AP25">Y22+AK22</f>
        <v>0</v>
      </c>
      <c r="AP22" s="335">
        <f t="shared" si="39"/>
        <v>0</v>
      </c>
      <c r="AQ22" s="382">
        <v>1318.28</v>
      </c>
      <c r="AR22" s="383"/>
      <c r="AS22" s="384"/>
      <c r="AT22" s="382">
        <v>878.85</v>
      </c>
      <c r="AU22" s="383"/>
      <c r="AV22" s="406"/>
      <c r="AW22" s="349">
        <v>1318.27</v>
      </c>
      <c r="AX22" s="213"/>
      <c r="AY22" s="335"/>
      <c r="AZ22" s="212">
        <f aca="true" t="shared" si="40" ref="AZ22:BB25">AQ22+AT22+AW22</f>
        <v>3515.4</v>
      </c>
      <c r="BA22" s="213">
        <f t="shared" si="40"/>
        <v>0</v>
      </c>
      <c r="BB22" s="39">
        <f t="shared" si="40"/>
        <v>0</v>
      </c>
      <c r="BC22" s="230">
        <f aca="true" t="shared" si="41" ref="BC22:BE25">AN22+AZ22</f>
        <v>19705.46</v>
      </c>
      <c r="BD22" s="231">
        <f t="shared" si="41"/>
        <v>0</v>
      </c>
      <c r="BE22" s="232">
        <f t="shared" si="41"/>
        <v>0</v>
      </c>
      <c r="BF22" s="196"/>
      <c r="BG22" s="263"/>
      <c r="BH22" s="245">
        <f>BL22-BC22</f>
        <v>10094.54</v>
      </c>
      <c r="BI22" s="262">
        <f>AN22-F22</f>
        <v>-809.9400000000005</v>
      </c>
      <c r="BJ22" s="42">
        <f t="shared" si="7"/>
        <v>2189.4955555555553</v>
      </c>
      <c r="BK22" s="318">
        <v>12800</v>
      </c>
      <c r="BL22" s="313">
        <f>F22+BK22</f>
        <v>29800</v>
      </c>
    </row>
    <row r="23" spans="1:64" s="1" customFormat="1" ht="19.5" customHeight="1">
      <c r="A23" s="475"/>
      <c r="B23" s="15" t="s">
        <v>29</v>
      </c>
      <c r="C23" s="132">
        <v>131277.55</v>
      </c>
      <c r="D23" s="167">
        <v>100447.21416666667</v>
      </c>
      <c r="E23" s="80">
        <v>-59690.46</v>
      </c>
      <c r="F23" s="90">
        <f>G23+H23+I23+K23</f>
        <v>0</v>
      </c>
      <c r="G23" s="105">
        <v>108000</v>
      </c>
      <c r="H23" s="105">
        <v>108000</v>
      </c>
      <c r="I23" s="183">
        <v>-216000</v>
      </c>
      <c r="J23" s="200">
        <f>G23+H23+I23</f>
        <v>0</v>
      </c>
      <c r="K23" s="203"/>
      <c r="L23" s="183"/>
      <c r="M23" s="181">
        <f>L23</f>
        <v>0</v>
      </c>
      <c r="N23" s="103">
        <f>K23-L23-M23</f>
        <v>0</v>
      </c>
      <c r="O23" s="49">
        <v>71605.94</v>
      </c>
      <c r="P23" s="50"/>
      <c r="Q23" s="52">
        <v>95462.4</v>
      </c>
      <c r="R23" s="49">
        <v>0</v>
      </c>
      <c r="S23" s="50">
        <v>0</v>
      </c>
      <c r="T23" s="52">
        <v>143211.87</v>
      </c>
      <c r="U23" s="49">
        <v>0</v>
      </c>
      <c r="V23" s="50">
        <v>0</v>
      </c>
      <c r="W23" s="52">
        <v>114472.04</v>
      </c>
      <c r="X23" s="212">
        <f t="shared" si="37"/>
        <v>71605.94</v>
      </c>
      <c r="Y23" s="213">
        <f t="shared" si="37"/>
        <v>0</v>
      </c>
      <c r="Z23" s="39">
        <f t="shared" si="37"/>
        <v>353146.31</v>
      </c>
      <c r="AA23" s="49"/>
      <c r="AB23" s="51"/>
      <c r="AC23" s="21">
        <v>28739.83</v>
      </c>
      <c r="AD23" s="49">
        <v>0</v>
      </c>
      <c r="AE23" s="51"/>
      <c r="AF23" s="21"/>
      <c r="AG23" s="49"/>
      <c r="AH23" s="51"/>
      <c r="AI23" s="248"/>
      <c r="AJ23" s="212">
        <f t="shared" si="38"/>
        <v>0</v>
      </c>
      <c r="AK23" s="213">
        <f t="shared" si="38"/>
        <v>0</v>
      </c>
      <c r="AL23" s="39">
        <f t="shared" si="38"/>
        <v>28739.83</v>
      </c>
      <c r="AN23" s="212">
        <f>X23+AJ23</f>
        <v>71605.94</v>
      </c>
      <c r="AO23" s="213">
        <f t="shared" si="39"/>
        <v>0</v>
      </c>
      <c r="AP23" s="335">
        <f t="shared" si="39"/>
        <v>381886.14</v>
      </c>
      <c r="AQ23" s="382"/>
      <c r="AR23" s="383"/>
      <c r="AS23" s="384"/>
      <c r="AT23" s="382">
        <v>0</v>
      </c>
      <c r="AU23" s="383">
        <v>96433.26</v>
      </c>
      <c r="AV23" s="406"/>
      <c r="AW23" s="349">
        <v>96433.26</v>
      </c>
      <c r="AX23" s="213"/>
      <c r="AY23" s="335"/>
      <c r="AZ23" s="212">
        <f t="shared" si="40"/>
        <v>96433.26</v>
      </c>
      <c r="BA23" s="213">
        <f t="shared" si="40"/>
        <v>96433.26</v>
      </c>
      <c r="BB23" s="39">
        <f t="shared" si="40"/>
        <v>0</v>
      </c>
      <c r="BC23" s="230">
        <f t="shared" si="41"/>
        <v>168039.2</v>
      </c>
      <c r="BD23" s="231">
        <f t="shared" si="41"/>
        <v>96433.26</v>
      </c>
      <c r="BE23" s="232">
        <f t="shared" si="41"/>
        <v>381886.14</v>
      </c>
      <c r="BF23" s="196">
        <f>0+BD23-(AT23+AW23)+71605.99</f>
        <v>71605.99</v>
      </c>
      <c r="BG23" s="263">
        <f>BL23-BD23</f>
        <v>434446.74</v>
      </c>
      <c r="BH23" s="245"/>
      <c r="BI23" s="270">
        <f>AO23-J23</f>
        <v>0</v>
      </c>
      <c r="BJ23" s="42">
        <f>BC23/2</f>
        <v>84019.6</v>
      </c>
      <c r="BK23" s="318"/>
      <c r="BL23" s="313">
        <f>442400+88480</f>
        <v>530880</v>
      </c>
    </row>
    <row r="24" spans="1:64" s="1" customFormat="1" ht="15.75" customHeight="1">
      <c r="A24" s="475"/>
      <c r="B24" s="16" t="s">
        <v>30</v>
      </c>
      <c r="C24" s="132"/>
      <c r="D24" s="167">
        <v>6308.915</v>
      </c>
      <c r="E24" s="80">
        <v>-9827.64</v>
      </c>
      <c r="F24" s="90">
        <f>G24+H24+I24+K24</f>
        <v>48000</v>
      </c>
      <c r="G24" s="105">
        <v>8000</v>
      </c>
      <c r="H24" s="105">
        <v>8000</v>
      </c>
      <c r="I24" s="183">
        <v>8000</v>
      </c>
      <c r="J24" s="200">
        <f>G24+H24+I24</f>
        <v>24000</v>
      </c>
      <c r="K24" s="203">
        <v>24000</v>
      </c>
      <c r="L24" s="183">
        <v>8000</v>
      </c>
      <c r="M24" s="181">
        <f>L24</f>
        <v>8000</v>
      </c>
      <c r="N24" s="103">
        <f>K24-L24-M24</f>
        <v>8000</v>
      </c>
      <c r="O24" s="49"/>
      <c r="P24" s="50"/>
      <c r="Q24" s="52"/>
      <c r="R24" s="49"/>
      <c r="S24" s="50"/>
      <c r="T24" s="52"/>
      <c r="U24" s="49">
        <v>6842.5</v>
      </c>
      <c r="V24" s="50"/>
      <c r="W24" s="52"/>
      <c r="X24" s="212">
        <f t="shared" si="37"/>
        <v>6842.5</v>
      </c>
      <c r="Y24" s="213">
        <f t="shared" si="37"/>
        <v>0</v>
      </c>
      <c r="Z24" s="39">
        <f t="shared" si="37"/>
        <v>0</v>
      </c>
      <c r="AA24" s="49"/>
      <c r="AB24" s="51"/>
      <c r="AC24" s="21"/>
      <c r="AD24" s="49">
        <v>14026.86</v>
      </c>
      <c r="AE24" s="51"/>
      <c r="AF24" s="21"/>
      <c r="AG24" s="49"/>
      <c r="AH24" s="51"/>
      <c r="AI24" s="248"/>
      <c r="AJ24" s="212">
        <f t="shared" si="38"/>
        <v>14026.86</v>
      </c>
      <c r="AK24" s="213">
        <f t="shared" si="38"/>
        <v>0</v>
      </c>
      <c r="AL24" s="39">
        <f t="shared" si="38"/>
        <v>0</v>
      </c>
      <c r="AN24" s="212">
        <f>X24+AJ24</f>
        <v>20869.36</v>
      </c>
      <c r="AO24" s="213">
        <f t="shared" si="39"/>
        <v>0</v>
      </c>
      <c r="AP24" s="335">
        <f t="shared" si="39"/>
        <v>0</v>
      </c>
      <c r="AQ24" s="382"/>
      <c r="AR24" s="383"/>
      <c r="AS24" s="384"/>
      <c r="AT24" s="382">
        <v>14026.86</v>
      </c>
      <c r="AU24" s="383"/>
      <c r="AV24" s="406"/>
      <c r="AW24" s="349"/>
      <c r="AX24" s="213"/>
      <c r="AY24" s="335"/>
      <c r="AZ24" s="212">
        <f t="shared" si="40"/>
        <v>14026.86</v>
      </c>
      <c r="BA24" s="213">
        <f t="shared" si="40"/>
        <v>0</v>
      </c>
      <c r="BB24" s="39">
        <f t="shared" si="40"/>
        <v>0</v>
      </c>
      <c r="BC24" s="230">
        <f t="shared" si="41"/>
        <v>34896.22</v>
      </c>
      <c r="BD24" s="231">
        <f t="shared" si="41"/>
        <v>0</v>
      </c>
      <c r="BE24" s="232">
        <f t="shared" si="41"/>
        <v>0</v>
      </c>
      <c r="BF24" s="196"/>
      <c r="BG24" s="263"/>
      <c r="BH24" s="245">
        <f aca="true" t="shared" si="42" ref="BH24:BH29">BL24-BC24</f>
        <v>15663.779999999999</v>
      </c>
      <c r="BI24" s="270">
        <f>AN24-F24</f>
        <v>-27130.64</v>
      </c>
      <c r="BJ24" s="42">
        <f aca="true" t="shared" si="43" ref="BJ24:BJ38">BC24/9</f>
        <v>3877.3577777777778</v>
      </c>
      <c r="BK24" s="318">
        <v>2560</v>
      </c>
      <c r="BL24" s="313">
        <f>F24+BK24</f>
        <v>50560</v>
      </c>
    </row>
    <row r="25" spans="1:64" s="1" customFormat="1" ht="15.75" customHeight="1">
      <c r="A25" s="475"/>
      <c r="B25" s="16" t="s">
        <v>41</v>
      </c>
      <c r="C25" s="132"/>
      <c r="D25" s="167">
        <v>209051.31</v>
      </c>
      <c r="E25" s="99">
        <v>192965.72</v>
      </c>
      <c r="F25" s="90">
        <f>J25+K25</f>
        <v>1318000</v>
      </c>
      <c r="G25" s="105">
        <v>193000</v>
      </c>
      <c r="H25" s="105">
        <v>193000</v>
      </c>
      <c r="I25" s="183">
        <v>193000</v>
      </c>
      <c r="J25" s="200">
        <f>G25+H25+I25+193000</f>
        <v>772000</v>
      </c>
      <c r="K25" s="203">
        <v>546000</v>
      </c>
      <c r="L25" s="183">
        <v>182000</v>
      </c>
      <c r="M25" s="181">
        <f>L25</f>
        <v>182000</v>
      </c>
      <c r="N25" s="103">
        <f>K25-L25-M25</f>
        <v>182000</v>
      </c>
      <c r="O25" s="49">
        <v>181669.13</v>
      </c>
      <c r="P25" s="50"/>
      <c r="Q25" s="52"/>
      <c r="R25" s="49">
        <v>181669.16</v>
      </c>
      <c r="S25" s="50"/>
      <c r="T25" s="52"/>
      <c r="U25" s="49">
        <v>181669.16</v>
      </c>
      <c r="V25" s="50"/>
      <c r="W25" s="52"/>
      <c r="X25" s="212">
        <f t="shared" si="37"/>
        <v>545007.4500000001</v>
      </c>
      <c r="Y25" s="213">
        <f t="shared" si="37"/>
        <v>0</v>
      </c>
      <c r="Z25" s="39">
        <f t="shared" si="37"/>
        <v>0</v>
      </c>
      <c r="AA25" s="49">
        <v>181669.16</v>
      </c>
      <c r="AB25" s="51"/>
      <c r="AC25" s="21"/>
      <c r="AD25" s="49">
        <v>181669.16</v>
      </c>
      <c r="AE25" s="51"/>
      <c r="AF25" s="21"/>
      <c r="AG25" s="49">
        <v>181669.16</v>
      </c>
      <c r="AH25" s="51"/>
      <c r="AI25" s="248"/>
      <c r="AJ25" s="212">
        <f t="shared" si="38"/>
        <v>545007.48</v>
      </c>
      <c r="AK25" s="213">
        <f t="shared" si="38"/>
        <v>0</v>
      </c>
      <c r="AL25" s="39">
        <f t="shared" si="38"/>
        <v>0</v>
      </c>
      <c r="AN25" s="212">
        <f>X25+AJ25+192966</f>
        <v>1282980.9300000002</v>
      </c>
      <c r="AO25" s="213">
        <f t="shared" si="39"/>
        <v>0</v>
      </c>
      <c r="AP25" s="335">
        <f t="shared" si="39"/>
        <v>0</v>
      </c>
      <c r="AQ25" s="382">
        <v>181669.16</v>
      </c>
      <c r="AR25" s="383"/>
      <c r="AS25" s="384"/>
      <c r="AT25" s="382">
        <v>181669.16</v>
      </c>
      <c r="AU25" s="383"/>
      <c r="AV25" s="406"/>
      <c r="AW25" s="349">
        <v>181669.16</v>
      </c>
      <c r="AX25" s="213"/>
      <c r="AY25" s="335"/>
      <c r="AZ25" s="212">
        <f t="shared" si="40"/>
        <v>545007.48</v>
      </c>
      <c r="BA25" s="213">
        <f t="shared" si="40"/>
        <v>0</v>
      </c>
      <c r="BB25" s="39">
        <f t="shared" si="40"/>
        <v>0</v>
      </c>
      <c r="BC25" s="230">
        <f t="shared" si="41"/>
        <v>1827988.4100000001</v>
      </c>
      <c r="BD25" s="231">
        <f t="shared" si="41"/>
        <v>0</v>
      </c>
      <c r="BE25" s="232">
        <f t="shared" si="41"/>
        <v>0</v>
      </c>
      <c r="BF25" s="196"/>
      <c r="BG25" s="263"/>
      <c r="BH25" s="245">
        <f t="shared" si="42"/>
        <v>547011.5899999999</v>
      </c>
      <c r="BI25" s="270">
        <f>AN25-F25</f>
        <v>-35019.06999999983</v>
      </c>
      <c r="BJ25" s="42">
        <f t="shared" si="43"/>
        <v>203109.82333333336</v>
      </c>
      <c r="BK25" s="318">
        <v>905680</v>
      </c>
      <c r="BL25" s="313">
        <f>F25+BK25+151320</f>
        <v>2375000</v>
      </c>
    </row>
    <row r="26" spans="1:64" s="1" customFormat="1" ht="15.75" customHeight="1">
      <c r="A26" s="475"/>
      <c r="B26" s="16" t="s">
        <v>111</v>
      </c>
      <c r="C26" s="132"/>
      <c r="D26" s="167"/>
      <c r="E26" s="99"/>
      <c r="F26" s="90"/>
      <c r="G26" s="105"/>
      <c r="H26" s="105"/>
      <c r="I26" s="183"/>
      <c r="J26" s="200"/>
      <c r="K26" s="203"/>
      <c r="L26" s="183"/>
      <c r="M26" s="181"/>
      <c r="N26" s="103"/>
      <c r="O26" s="49"/>
      <c r="P26" s="50"/>
      <c r="Q26" s="52"/>
      <c r="R26" s="49"/>
      <c r="S26" s="50"/>
      <c r="T26" s="52"/>
      <c r="U26" s="49"/>
      <c r="V26" s="50"/>
      <c r="W26" s="52"/>
      <c r="X26" s="212"/>
      <c r="Y26" s="213"/>
      <c r="Z26" s="39"/>
      <c r="AA26" s="49"/>
      <c r="AB26" s="51"/>
      <c r="AC26" s="21"/>
      <c r="AD26" s="49"/>
      <c r="AE26" s="51"/>
      <c r="AF26" s="21"/>
      <c r="AG26" s="49"/>
      <c r="AH26" s="51"/>
      <c r="AI26" s="248"/>
      <c r="AJ26" s="212"/>
      <c r="AK26" s="213"/>
      <c r="AL26" s="39"/>
      <c r="AN26" s="212"/>
      <c r="AO26" s="213"/>
      <c r="AP26" s="335"/>
      <c r="AQ26" s="382"/>
      <c r="AR26" s="383"/>
      <c r="AS26" s="384"/>
      <c r="AT26" s="382"/>
      <c r="AU26" s="383"/>
      <c r="AV26" s="406"/>
      <c r="AW26" s="349">
        <v>10338.57</v>
      </c>
      <c r="AX26" s="213"/>
      <c r="AY26" s="335"/>
      <c r="AZ26" s="212">
        <f>AQ26+AT26+AW26</f>
        <v>10338.57</v>
      </c>
      <c r="BA26" s="213"/>
      <c r="BB26" s="39"/>
      <c r="BC26" s="230">
        <f>AN26+AZ26</f>
        <v>10338.57</v>
      </c>
      <c r="BD26" s="231"/>
      <c r="BE26" s="232"/>
      <c r="BF26" s="196"/>
      <c r="BG26" s="263"/>
      <c r="BH26" s="245">
        <f t="shared" si="42"/>
        <v>27461.43</v>
      </c>
      <c r="BI26" s="270"/>
      <c r="BJ26" s="42">
        <f t="shared" si="43"/>
        <v>1148.73</v>
      </c>
      <c r="BK26" s="318"/>
      <c r="BL26" s="313">
        <v>37800</v>
      </c>
    </row>
    <row r="27" spans="1:64" s="1" customFormat="1" ht="15.75" customHeight="1">
      <c r="A27" s="475"/>
      <c r="B27" s="16" t="s">
        <v>36</v>
      </c>
      <c r="C27" s="132"/>
      <c r="D27" s="167">
        <v>1987.9591666666668</v>
      </c>
      <c r="E27" s="80">
        <v>-8144.49</v>
      </c>
      <c r="F27" s="90">
        <f>G27+H27+I27+K27</f>
        <v>18000</v>
      </c>
      <c r="G27" s="105">
        <v>3000</v>
      </c>
      <c r="H27" s="105">
        <v>3000</v>
      </c>
      <c r="I27" s="183">
        <v>3000</v>
      </c>
      <c r="J27" s="200">
        <f>G27+H27+I27</f>
        <v>9000</v>
      </c>
      <c r="K27" s="203">
        <v>9000</v>
      </c>
      <c r="L27" s="183">
        <v>3000</v>
      </c>
      <c r="M27" s="181">
        <f>L27</f>
        <v>3000</v>
      </c>
      <c r="N27" s="103">
        <f>K27-L27-M27</f>
        <v>3000</v>
      </c>
      <c r="O27" s="49">
        <v>166.98</v>
      </c>
      <c r="P27" s="50"/>
      <c r="Q27" s="52"/>
      <c r="R27" s="49">
        <v>2782.98</v>
      </c>
      <c r="S27" s="50"/>
      <c r="T27" s="52"/>
      <c r="U27" s="49"/>
      <c r="V27" s="50"/>
      <c r="W27" s="52"/>
      <c r="X27" s="212">
        <f aca="true" t="shared" si="44" ref="X27:Z28">O27+R27+U27</f>
        <v>2949.96</v>
      </c>
      <c r="Y27" s="213">
        <f t="shared" si="44"/>
        <v>0</v>
      </c>
      <c r="Z27" s="39">
        <f t="shared" si="44"/>
        <v>0</v>
      </c>
      <c r="AA27" s="49"/>
      <c r="AB27" s="51"/>
      <c r="AC27" s="21"/>
      <c r="AD27" s="49">
        <v>0</v>
      </c>
      <c r="AE27" s="51"/>
      <c r="AF27" s="21"/>
      <c r="AG27" s="49"/>
      <c r="AH27" s="51"/>
      <c r="AI27" s="248"/>
      <c r="AJ27" s="212">
        <f aca="true" t="shared" si="45" ref="AJ27:AL28">AA27+AD27+AG27</f>
        <v>0</v>
      </c>
      <c r="AK27" s="213">
        <f t="shared" si="45"/>
        <v>0</v>
      </c>
      <c r="AL27" s="39">
        <f t="shared" si="45"/>
        <v>0</v>
      </c>
      <c r="AN27" s="212">
        <f aca="true" t="shared" si="46" ref="AN27:AP28">X27+AJ27</f>
        <v>2949.96</v>
      </c>
      <c r="AO27" s="213">
        <f t="shared" si="46"/>
        <v>0</v>
      </c>
      <c r="AP27" s="335">
        <f t="shared" si="46"/>
        <v>0</v>
      </c>
      <c r="AQ27" s="382">
        <v>2782.98</v>
      </c>
      <c r="AR27" s="383"/>
      <c r="AS27" s="384"/>
      <c r="AT27" s="382">
        <v>0</v>
      </c>
      <c r="AU27" s="383"/>
      <c r="AV27" s="406"/>
      <c r="AW27" s="349"/>
      <c r="AX27" s="213"/>
      <c r="AY27" s="335"/>
      <c r="AZ27" s="212">
        <f>AQ27+AT27+AW27</f>
        <v>2782.98</v>
      </c>
      <c r="BA27" s="213">
        <f>AR27+AU27+AX27</f>
        <v>0</v>
      </c>
      <c r="BB27" s="39">
        <f>AS27+AV27+AY27</f>
        <v>0</v>
      </c>
      <c r="BC27" s="230">
        <f>AN27+AZ27</f>
        <v>5732.9400000000005</v>
      </c>
      <c r="BD27" s="231">
        <f>AO27+BA27</f>
        <v>0</v>
      </c>
      <c r="BE27" s="232">
        <f>AP27+BB27</f>
        <v>0</v>
      </c>
      <c r="BF27" s="196"/>
      <c r="BG27" s="263"/>
      <c r="BH27" s="245">
        <f t="shared" si="42"/>
        <v>12267.06</v>
      </c>
      <c r="BI27" s="270">
        <f>AN27-F27</f>
        <v>-15050.04</v>
      </c>
      <c r="BJ27" s="42">
        <f t="shared" si="43"/>
        <v>636.9933333333333</v>
      </c>
      <c r="BK27" s="318">
        <v>0</v>
      </c>
      <c r="BL27" s="313">
        <f>F27+BK27</f>
        <v>18000</v>
      </c>
    </row>
    <row r="28" spans="1:64" s="1" customFormat="1" ht="21.75" customHeight="1" thickBot="1">
      <c r="A28" s="474"/>
      <c r="B28" s="15" t="s">
        <v>15</v>
      </c>
      <c r="C28" s="129"/>
      <c r="D28" s="163">
        <v>28668.361666666664</v>
      </c>
      <c r="E28" s="96">
        <v>-462.2900000000318</v>
      </c>
      <c r="F28" s="90">
        <f>G28+H28+I28+K28</f>
        <v>150000</v>
      </c>
      <c r="G28" s="101">
        <v>30000</v>
      </c>
      <c r="H28" s="101">
        <v>30000</v>
      </c>
      <c r="I28" s="182">
        <v>30000</v>
      </c>
      <c r="J28" s="200">
        <f>G28+H28+I28</f>
        <v>90000</v>
      </c>
      <c r="K28" s="201">
        <v>60000</v>
      </c>
      <c r="L28" s="182">
        <v>20000</v>
      </c>
      <c r="M28" s="181">
        <f>L28</f>
        <v>20000</v>
      </c>
      <c r="N28" s="103">
        <f>K28-L28-M28</f>
        <v>20000</v>
      </c>
      <c r="O28" s="49">
        <v>20168.15</v>
      </c>
      <c r="P28" s="50"/>
      <c r="Q28" s="52"/>
      <c r="R28" s="49">
        <v>17990.81</v>
      </c>
      <c r="S28" s="50"/>
      <c r="T28" s="52"/>
      <c r="U28" s="49">
        <v>21220.55</v>
      </c>
      <c r="V28" s="50"/>
      <c r="W28" s="52"/>
      <c r="X28" s="212">
        <f t="shared" si="44"/>
        <v>59379.51000000001</v>
      </c>
      <c r="Y28" s="213">
        <f t="shared" si="44"/>
        <v>0</v>
      </c>
      <c r="Z28" s="39">
        <f t="shared" si="44"/>
        <v>0</v>
      </c>
      <c r="AA28" s="49">
        <v>22968.17</v>
      </c>
      <c r="AB28" s="51"/>
      <c r="AC28" s="21"/>
      <c r="AD28" s="49">
        <v>32552.18</v>
      </c>
      <c r="AE28" s="51"/>
      <c r="AF28" s="21"/>
      <c r="AG28" s="49">
        <v>18722.03</v>
      </c>
      <c r="AH28" s="51"/>
      <c r="AI28" s="248"/>
      <c r="AJ28" s="212">
        <f t="shared" si="45"/>
        <v>74242.38</v>
      </c>
      <c r="AK28" s="213">
        <f t="shared" si="45"/>
        <v>0</v>
      </c>
      <c r="AL28" s="39">
        <f t="shared" si="45"/>
        <v>0</v>
      </c>
      <c r="AN28" s="212">
        <f t="shared" si="46"/>
        <v>133621.89</v>
      </c>
      <c r="AO28" s="213">
        <f t="shared" si="46"/>
        <v>0</v>
      </c>
      <c r="AP28" s="335">
        <f t="shared" si="46"/>
        <v>0</v>
      </c>
      <c r="AQ28" s="382">
        <v>37334.13</v>
      </c>
      <c r="AR28" s="383"/>
      <c r="AS28" s="384"/>
      <c r="AT28" s="382">
        <v>27750.71</v>
      </c>
      <c r="AU28" s="383"/>
      <c r="AV28" s="406"/>
      <c r="AW28" s="349">
        <v>35825.03</v>
      </c>
      <c r="AX28" s="213"/>
      <c r="AY28" s="335"/>
      <c r="AZ28" s="212">
        <f>AQ28+AT28+AW28</f>
        <v>100909.87</v>
      </c>
      <c r="BA28" s="213">
        <f>AR28+AU28+AX28</f>
        <v>0</v>
      </c>
      <c r="BB28" s="39">
        <f>AS28+AV28+AY28</f>
        <v>0</v>
      </c>
      <c r="BC28" s="230">
        <f>AN28+AZ28</f>
        <v>234531.76</v>
      </c>
      <c r="BD28" s="231">
        <f>AO28+BA28</f>
        <v>0</v>
      </c>
      <c r="BE28" s="232">
        <f>AP28+BB28</f>
        <v>0</v>
      </c>
      <c r="BF28" s="197"/>
      <c r="BG28" s="263"/>
      <c r="BH28" s="245">
        <f t="shared" si="42"/>
        <v>58508.23999999999</v>
      </c>
      <c r="BI28" s="270">
        <f>AN28-F28</f>
        <v>-16378.109999999986</v>
      </c>
      <c r="BJ28" s="42">
        <f t="shared" si="43"/>
        <v>26059.084444444445</v>
      </c>
      <c r="BK28" s="318">
        <v>117690</v>
      </c>
      <c r="BL28" s="313">
        <f>F28+BK28+25350</f>
        <v>293040</v>
      </c>
    </row>
    <row r="29" spans="1:64" s="1" customFormat="1" ht="19.5" customHeight="1" thickBot="1">
      <c r="A29" s="457" t="s">
        <v>16</v>
      </c>
      <c r="B29" s="472"/>
      <c r="C29" s="130">
        <v>131277.55</v>
      </c>
      <c r="D29" s="165">
        <v>348914.54666666663</v>
      </c>
      <c r="E29" s="119">
        <v>116530.28</v>
      </c>
      <c r="F29" s="102">
        <f aca="true" t="shared" si="47" ref="F29:AL29">F22+F23+F24+F25+F27+F28</f>
        <v>1551000</v>
      </c>
      <c r="G29" s="102">
        <f t="shared" si="47"/>
        <v>344000</v>
      </c>
      <c r="H29" s="102">
        <f t="shared" si="47"/>
        <v>344000</v>
      </c>
      <c r="I29" s="102">
        <f t="shared" si="47"/>
        <v>20000</v>
      </c>
      <c r="J29" s="102">
        <f t="shared" si="47"/>
        <v>903000</v>
      </c>
      <c r="K29" s="102">
        <f t="shared" si="47"/>
        <v>648000</v>
      </c>
      <c r="L29" s="102">
        <f t="shared" si="47"/>
        <v>216000</v>
      </c>
      <c r="M29" s="102">
        <f t="shared" si="47"/>
        <v>216000</v>
      </c>
      <c r="N29" s="102">
        <f t="shared" si="47"/>
        <v>216000</v>
      </c>
      <c r="O29" s="60">
        <f t="shared" si="47"/>
        <v>275807.33</v>
      </c>
      <c r="P29" s="60">
        <f t="shared" si="47"/>
        <v>0</v>
      </c>
      <c r="Q29" s="60">
        <f t="shared" si="47"/>
        <v>95462.4</v>
      </c>
      <c r="R29" s="60">
        <f t="shared" si="47"/>
        <v>205958.36000000002</v>
      </c>
      <c r="S29" s="60">
        <f t="shared" si="47"/>
        <v>0</v>
      </c>
      <c r="T29" s="60">
        <f t="shared" si="47"/>
        <v>143211.87</v>
      </c>
      <c r="U29" s="60">
        <f t="shared" si="47"/>
        <v>211050.49</v>
      </c>
      <c r="V29" s="60">
        <f t="shared" si="47"/>
        <v>0</v>
      </c>
      <c r="W29" s="60">
        <f t="shared" si="47"/>
        <v>114472.04</v>
      </c>
      <c r="X29" s="225">
        <f t="shared" si="47"/>
        <v>692816.18</v>
      </c>
      <c r="Y29" s="225">
        <f t="shared" si="47"/>
        <v>0</v>
      </c>
      <c r="Z29" s="215">
        <f t="shared" si="47"/>
        <v>353146.31</v>
      </c>
      <c r="AA29" s="60">
        <f t="shared" si="47"/>
        <v>205955.59999999998</v>
      </c>
      <c r="AB29" s="60">
        <f t="shared" si="47"/>
        <v>0</v>
      </c>
      <c r="AC29" s="60">
        <f t="shared" si="47"/>
        <v>28739.83</v>
      </c>
      <c r="AD29" s="60">
        <f t="shared" si="47"/>
        <v>231763.61</v>
      </c>
      <c r="AE29" s="60">
        <f t="shared" si="47"/>
        <v>0</v>
      </c>
      <c r="AF29" s="60">
        <f t="shared" si="47"/>
        <v>0</v>
      </c>
      <c r="AG29" s="60">
        <f t="shared" si="47"/>
        <v>203027.75</v>
      </c>
      <c r="AH29" s="60">
        <f t="shared" si="47"/>
        <v>0</v>
      </c>
      <c r="AI29" s="70">
        <f t="shared" si="47"/>
        <v>0</v>
      </c>
      <c r="AJ29" s="70">
        <f t="shared" si="47"/>
        <v>640746.96</v>
      </c>
      <c r="AK29" s="70">
        <f t="shared" si="47"/>
        <v>0</v>
      </c>
      <c r="AL29" s="70">
        <f t="shared" si="47"/>
        <v>28739.83</v>
      </c>
      <c r="AM29" s="67"/>
      <c r="AN29" s="215">
        <f aca="true" t="shared" si="48" ref="AN29:AV29">AN22+AN23+AN24+AN25+AN27+AN28</f>
        <v>1528218.1400000001</v>
      </c>
      <c r="AO29" s="215">
        <f t="shared" si="48"/>
        <v>0</v>
      </c>
      <c r="AP29" s="225">
        <f t="shared" si="48"/>
        <v>381886.14</v>
      </c>
      <c r="AQ29" s="385">
        <f t="shared" si="48"/>
        <v>223104.55000000002</v>
      </c>
      <c r="AR29" s="385">
        <f t="shared" si="48"/>
        <v>0</v>
      </c>
      <c r="AS29" s="385">
        <f t="shared" si="48"/>
        <v>0</v>
      </c>
      <c r="AT29" s="385">
        <f t="shared" si="48"/>
        <v>224325.58</v>
      </c>
      <c r="AU29" s="385">
        <f t="shared" si="48"/>
        <v>96433.26</v>
      </c>
      <c r="AV29" s="411">
        <f t="shared" si="48"/>
        <v>0</v>
      </c>
      <c r="AW29" s="354">
        <f aca="true" t="shared" si="49" ref="AW29:BE29">SUM(AW22:AW28)</f>
        <v>325584.29000000004</v>
      </c>
      <c r="AX29" s="354">
        <f t="shared" si="49"/>
        <v>0</v>
      </c>
      <c r="AY29" s="354">
        <f t="shared" si="49"/>
        <v>0</v>
      </c>
      <c r="AZ29" s="354">
        <f t="shared" si="49"/>
        <v>773014.4199999999</v>
      </c>
      <c r="BA29" s="354">
        <f t="shared" si="49"/>
        <v>96433.26</v>
      </c>
      <c r="BB29" s="354">
        <f t="shared" si="49"/>
        <v>0</v>
      </c>
      <c r="BC29" s="225">
        <f t="shared" si="49"/>
        <v>2301232.56</v>
      </c>
      <c r="BD29" s="354">
        <f t="shared" si="49"/>
        <v>96433.26</v>
      </c>
      <c r="BE29" s="256">
        <f t="shared" si="49"/>
        <v>381886.14</v>
      </c>
      <c r="BF29" s="256"/>
      <c r="BG29" s="268"/>
      <c r="BH29" s="269">
        <f t="shared" si="42"/>
        <v>1033847.44</v>
      </c>
      <c r="BI29" s="268">
        <f>BI22+BI23+BI24+BI25+BI27+BI28</f>
        <v>-94387.79999999981</v>
      </c>
      <c r="BJ29" s="42">
        <f t="shared" si="43"/>
        <v>255692.50666666668</v>
      </c>
      <c r="BK29" s="316">
        <f>BK22+BK24+BK25+BK28+BK27</f>
        <v>1038730</v>
      </c>
      <c r="BL29" s="314">
        <f>SUM(BL22:BL28)</f>
        <v>3335080</v>
      </c>
    </row>
    <row r="30" spans="1:64" s="1" customFormat="1" ht="17.25" customHeight="1">
      <c r="A30" s="473" t="s">
        <v>17</v>
      </c>
      <c r="B30" s="5" t="s">
        <v>23</v>
      </c>
      <c r="C30" s="128"/>
      <c r="D30" s="162">
        <v>0</v>
      </c>
      <c r="E30" s="95"/>
      <c r="F30" s="90">
        <f>G30+H30+I30</f>
        <v>0</v>
      </c>
      <c r="G30" s="103"/>
      <c r="H30" s="103"/>
      <c r="I30" s="181"/>
      <c r="J30" s="200">
        <f>G30+H30+I30</f>
        <v>0</v>
      </c>
      <c r="K30" s="200"/>
      <c r="L30" s="181"/>
      <c r="M30" s="181">
        <f>L30</f>
        <v>0</v>
      </c>
      <c r="N30" s="103">
        <f>K30-L30-M30</f>
        <v>0</v>
      </c>
      <c r="O30" s="49"/>
      <c r="P30" s="50"/>
      <c r="Q30" s="52"/>
      <c r="R30" s="49"/>
      <c r="S30" s="50"/>
      <c r="T30" s="52"/>
      <c r="U30" s="49"/>
      <c r="V30" s="50"/>
      <c r="W30" s="52"/>
      <c r="X30" s="212">
        <f aca="true" t="shared" si="50" ref="X30:Z32">O30+R30+U30</f>
        <v>0</v>
      </c>
      <c r="Y30" s="213">
        <f t="shared" si="50"/>
        <v>0</v>
      </c>
      <c r="Z30" s="39">
        <f t="shared" si="50"/>
        <v>0</v>
      </c>
      <c r="AA30" s="49"/>
      <c r="AB30" s="51"/>
      <c r="AC30" s="21"/>
      <c r="AD30" s="49"/>
      <c r="AE30" s="51"/>
      <c r="AF30" s="21"/>
      <c r="AG30" s="49"/>
      <c r="AH30" s="51"/>
      <c r="AI30" s="248"/>
      <c r="AJ30" s="212">
        <f aca="true" t="shared" si="51" ref="AJ30:AL32">AA30+AD30+AG30</f>
        <v>0</v>
      </c>
      <c r="AK30" s="213">
        <f t="shared" si="51"/>
        <v>0</v>
      </c>
      <c r="AL30" s="39">
        <f t="shared" si="51"/>
        <v>0</v>
      </c>
      <c r="AN30" s="212">
        <f aca="true" t="shared" si="52" ref="AN30:AP32">X30+AJ30</f>
        <v>0</v>
      </c>
      <c r="AO30" s="213">
        <f t="shared" si="52"/>
        <v>0</v>
      </c>
      <c r="AP30" s="335">
        <f t="shared" si="52"/>
        <v>0</v>
      </c>
      <c r="AQ30" s="382"/>
      <c r="AR30" s="383"/>
      <c r="AS30" s="384"/>
      <c r="AT30" s="382"/>
      <c r="AU30" s="383"/>
      <c r="AV30" s="406"/>
      <c r="AW30" s="349"/>
      <c r="AX30" s="213"/>
      <c r="AY30" s="335"/>
      <c r="AZ30" s="212">
        <f aca="true" t="shared" si="53" ref="AZ30:BB32">AQ30+AT30+AW30</f>
        <v>0</v>
      </c>
      <c r="BA30" s="213">
        <f t="shared" si="53"/>
        <v>0</v>
      </c>
      <c r="BB30" s="39">
        <f t="shared" si="53"/>
        <v>0</v>
      </c>
      <c r="BC30" s="230">
        <f aca="true" t="shared" si="54" ref="BC30:BE32">AN30+AZ30</f>
        <v>0</v>
      </c>
      <c r="BD30" s="231">
        <f t="shared" si="54"/>
        <v>0</v>
      </c>
      <c r="BE30" s="232">
        <f t="shared" si="54"/>
        <v>0</v>
      </c>
      <c r="BF30" s="195"/>
      <c r="BG30" s="263"/>
      <c r="BH30" s="245"/>
      <c r="BI30" s="270">
        <f>AN30-J30</f>
        <v>0</v>
      </c>
      <c r="BJ30" s="42">
        <f t="shared" si="43"/>
        <v>0</v>
      </c>
      <c r="BK30" s="318"/>
      <c r="BL30" s="313">
        <f>F30+BK30</f>
        <v>0</v>
      </c>
    </row>
    <row r="31" spans="1:64" s="1" customFormat="1" ht="17.25" customHeight="1">
      <c r="A31" s="475"/>
      <c r="B31" s="5" t="s">
        <v>22</v>
      </c>
      <c r="C31" s="132">
        <v>5160.1</v>
      </c>
      <c r="D31" s="167">
        <v>7573.052500000001</v>
      </c>
      <c r="E31" s="80">
        <v>-4.940000000002328</v>
      </c>
      <c r="F31" s="90">
        <f>G31+H31+I31+K31</f>
        <v>38000</v>
      </c>
      <c r="G31" s="105">
        <v>7000</v>
      </c>
      <c r="H31" s="105">
        <v>6000</v>
      </c>
      <c r="I31" s="183">
        <v>6000</v>
      </c>
      <c r="J31" s="200">
        <f>G31+H31+I31</f>
        <v>19000</v>
      </c>
      <c r="K31" s="203">
        <v>19000</v>
      </c>
      <c r="L31" s="183">
        <v>7000</v>
      </c>
      <c r="M31" s="181">
        <f>L31</f>
        <v>7000</v>
      </c>
      <c r="N31" s="103">
        <f>K31-L31-M31</f>
        <v>5000</v>
      </c>
      <c r="O31" s="49">
        <v>3528.17</v>
      </c>
      <c r="P31" s="50">
        <v>838.7</v>
      </c>
      <c r="Q31" s="52">
        <v>21298.46</v>
      </c>
      <c r="R31" s="49">
        <v>3393.05</v>
      </c>
      <c r="S31" s="50">
        <v>10180.6</v>
      </c>
      <c r="T31" s="52">
        <v>3841.54</v>
      </c>
      <c r="U31" s="49">
        <v>6149.93</v>
      </c>
      <c r="V31" s="50">
        <v>2992.7</v>
      </c>
      <c r="W31" s="52"/>
      <c r="X31" s="212">
        <f t="shared" si="50"/>
        <v>13071.150000000001</v>
      </c>
      <c r="Y31" s="213">
        <f t="shared" si="50"/>
        <v>14012</v>
      </c>
      <c r="Z31" s="39">
        <f t="shared" si="50"/>
        <v>25140</v>
      </c>
      <c r="AA31" s="49">
        <v>4187.77</v>
      </c>
      <c r="AB31" s="51">
        <v>2995.58</v>
      </c>
      <c r="AC31" s="21">
        <v>839.12</v>
      </c>
      <c r="AD31" s="49">
        <v>4673.37</v>
      </c>
      <c r="AE31" s="51">
        <v>13840.87</v>
      </c>
      <c r="AF31" s="50">
        <v>10180.6</v>
      </c>
      <c r="AG31" s="49">
        <v>6788.79</v>
      </c>
      <c r="AH31" s="51">
        <v>6244.17</v>
      </c>
      <c r="AI31" s="248">
        <v>2990</v>
      </c>
      <c r="AJ31" s="212">
        <f t="shared" si="51"/>
        <v>15649.93</v>
      </c>
      <c r="AK31" s="213">
        <f t="shared" si="51"/>
        <v>23080.620000000003</v>
      </c>
      <c r="AL31" s="39">
        <f t="shared" si="51"/>
        <v>14009.720000000001</v>
      </c>
      <c r="AN31" s="212">
        <f t="shared" si="52"/>
        <v>28721.08</v>
      </c>
      <c r="AO31" s="213">
        <f t="shared" si="52"/>
        <v>37092.62</v>
      </c>
      <c r="AP31" s="335">
        <f t="shared" si="52"/>
        <v>39149.72</v>
      </c>
      <c r="AQ31" s="382">
        <v>5122.84</v>
      </c>
      <c r="AR31" s="383">
        <v>1589.87</v>
      </c>
      <c r="AS31" s="384">
        <v>2999.13</v>
      </c>
      <c r="AT31" s="382">
        <v>3735.31</v>
      </c>
      <c r="AU31" s="383"/>
      <c r="AV31" s="406">
        <v>3000.87</v>
      </c>
      <c r="AW31" s="349">
        <v>6410.74</v>
      </c>
      <c r="AX31" s="213">
        <v>13920.39</v>
      </c>
      <c r="AY31" s="335">
        <v>11550</v>
      </c>
      <c r="AZ31" s="212">
        <f t="shared" si="53"/>
        <v>15268.89</v>
      </c>
      <c r="BA31" s="213">
        <f t="shared" si="53"/>
        <v>15510.259999999998</v>
      </c>
      <c r="BB31" s="39">
        <f t="shared" si="53"/>
        <v>17550</v>
      </c>
      <c r="BC31" s="230">
        <f t="shared" si="54"/>
        <v>43989.97</v>
      </c>
      <c r="BD31" s="231">
        <f t="shared" si="54"/>
        <v>52602.880000000005</v>
      </c>
      <c r="BE31" s="232">
        <f t="shared" si="54"/>
        <v>56699.72</v>
      </c>
      <c r="BF31" s="196">
        <f>C31+BD31-BC31</f>
        <v>13773.010000000002</v>
      </c>
      <c r="BG31" s="263">
        <f>BL31-BD31</f>
        <v>5087.119999999995</v>
      </c>
      <c r="BH31" s="245"/>
      <c r="BI31" s="270">
        <f>AO31-F31</f>
        <v>-907.3799999999974</v>
      </c>
      <c r="BJ31" s="42">
        <f t="shared" si="43"/>
        <v>4887.774444444444</v>
      </c>
      <c r="BK31" s="318">
        <v>12200</v>
      </c>
      <c r="BL31" s="313">
        <f>F31+BK31+7490</f>
        <v>57690</v>
      </c>
    </row>
    <row r="32" spans="1:64" s="1" customFormat="1" ht="17.25" customHeight="1" thickBot="1">
      <c r="A32" s="475"/>
      <c r="B32" s="13" t="s">
        <v>24</v>
      </c>
      <c r="C32" s="129">
        <v>13.84</v>
      </c>
      <c r="D32" s="163">
        <v>33.41</v>
      </c>
      <c r="E32" s="96">
        <v>-15.04</v>
      </c>
      <c r="F32" s="121">
        <f>G32+H32+I32+K32</f>
        <v>2000</v>
      </c>
      <c r="G32" s="101">
        <v>1000</v>
      </c>
      <c r="H32" s="101">
        <v>0</v>
      </c>
      <c r="I32" s="182">
        <v>0</v>
      </c>
      <c r="J32" s="200">
        <f>G32+H32+I32</f>
        <v>1000</v>
      </c>
      <c r="K32" s="201">
        <v>1000</v>
      </c>
      <c r="L32" s="182">
        <v>1000</v>
      </c>
      <c r="M32" s="181">
        <v>0</v>
      </c>
      <c r="N32" s="103">
        <f>K32-L32-M32</f>
        <v>0</v>
      </c>
      <c r="O32" s="49">
        <v>13.84</v>
      </c>
      <c r="P32" s="50"/>
      <c r="Q32" s="52"/>
      <c r="R32" s="49">
        <v>21.59</v>
      </c>
      <c r="S32" s="50">
        <v>441.13</v>
      </c>
      <c r="T32" s="52"/>
      <c r="U32" s="49">
        <v>25.47</v>
      </c>
      <c r="V32" s="50"/>
      <c r="W32" s="52"/>
      <c r="X32" s="212">
        <f t="shared" si="50"/>
        <v>60.9</v>
      </c>
      <c r="Y32" s="213">
        <f t="shared" si="50"/>
        <v>441.13</v>
      </c>
      <c r="Z32" s="39">
        <f t="shared" si="50"/>
        <v>0</v>
      </c>
      <c r="AA32" s="49">
        <v>25</v>
      </c>
      <c r="AB32" s="51"/>
      <c r="AC32" s="21"/>
      <c r="AD32" s="49">
        <v>37.47</v>
      </c>
      <c r="AE32" s="51"/>
      <c r="AF32" s="50">
        <f>441.13-0.85</f>
        <v>440.28</v>
      </c>
      <c r="AG32" s="49">
        <v>32.96</v>
      </c>
      <c r="AH32" s="51">
        <v>178.51</v>
      </c>
      <c r="AI32" s="248"/>
      <c r="AJ32" s="212">
        <f t="shared" si="51"/>
        <v>95.43</v>
      </c>
      <c r="AK32" s="213">
        <f t="shared" si="51"/>
        <v>178.51</v>
      </c>
      <c r="AL32" s="39">
        <f t="shared" si="51"/>
        <v>440.28</v>
      </c>
      <c r="AN32" s="212">
        <f t="shared" si="52"/>
        <v>156.33</v>
      </c>
      <c r="AO32" s="213">
        <f t="shared" si="52"/>
        <v>619.64</v>
      </c>
      <c r="AP32" s="342">
        <f t="shared" si="52"/>
        <v>440.28</v>
      </c>
      <c r="AQ32" s="370">
        <v>42.86</v>
      </c>
      <c r="AR32" s="377"/>
      <c r="AS32" s="378"/>
      <c r="AT32" s="370">
        <v>35.11</v>
      </c>
      <c r="AU32" s="377"/>
      <c r="AV32" s="407"/>
      <c r="AW32" s="350">
        <v>185.06</v>
      </c>
      <c r="AX32" s="235">
        <v>1297.86</v>
      </c>
      <c r="AY32" s="342"/>
      <c r="AZ32" s="234">
        <f t="shared" si="53"/>
        <v>263.03</v>
      </c>
      <c r="BA32" s="235">
        <f t="shared" si="53"/>
        <v>1297.86</v>
      </c>
      <c r="BB32" s="236">
        <f t="shared" si="53"/>
        <v>0</v>
      </c>
      <c r="BC32" s="230">
        <f t="shared" si="54"/>
        <v>419.36</v>
      </c>
      <c r="BD32" s="231">
        <f t="shared" si="54"/>
        <v>1917.5</v>
      </c>
      <c r="BE32" s="232">
        <f t="shared" si="54"/>
        <v>440.28</v>
      </c>
      <c r="BF32" s="196">
        <f>C32+BD32-BC32</f>
        <v>1511.98</v>
      </c>
      <c r="BG32" s="263">
        <f>BL32-BD32</f>
        <v>82.5</v>
      </c>
      <c r="BH32" s="245"/>
      <c r="BI32" s="264">
        <f>AO32-F32</f>
        <v>-1380.3600000000001</v>
      </c>
      <c r="BJ32" s="42">
        <f t="shared" si="43"/>
        <v>46.595555555555556</v>
      </c>
      <c r="BK32" s="318">
        <v>0</v>
      </c>
      <c r="BL32" s="313">
        <f>F32+BK32</f>
        <v>2000</v>
      </c>
    </row>
    <row r="33" spans="1:64" s="1" customFormat="1" ht="19.5" customHeight="1" thickBot="1">
      <c r="A33" s="476" t="s">
        <v>18</v>
      </c>
      <c r="B33" s="477"/>
      <c r="C33" s="70">
        <f>C31+C32</f>
        <v>5173.9400000000005</v>
      </c>
      <c r="D33" s="164">
        <v>7606.462500000001</v>
      </c>
      <c r="E33" s="70">
        <v>-19.980000000002292</v>
      </c>
      <c r="F33" s="102">
        <f aca="true" t="shared" si="55" ref="F33:AL33">F31+F32</f>
        <v>40000</v>
      </c>
      <c r="G33" s="102">
        <f t="shared" si="55"/>
        <v>8000</v>
      </c>
      <c r="H33" s="102">
        <f t="shared" si="55"/>
        <v>6000</v>
      </c>
      <c r="I33" s="102">
        <f t="shared" si="55"/>
        <v>6000</v>
      </c>
      <c r="J33" s="102">
        <f t="shared" si="55"/>
        <v>20000</v>
      </c>
      <c r="K33" s="102">
        <f t="shared" si="55"/>
        <v>20000</v>
      </c>
      <c r="L33" s="102">
        <f t="shared" si="55"/>
        <v>8000</v>
      </c>
      <c r="M33" s="102">
        <f t="shared" si="55"/>
        <v>7000</v>
      </c>
      <c r="N33" s="102">
        <f t="shared" si="55"/>
        <v>5000</v>
      </c>
      <c r="O33" s="61">
        <f t="shared" si="55"/>
        <v>3542.01</v>
      </c>
      <c r="P33" s="61">
        <f t="shared" si="55"/>
        <v>838.7</v>
      </c>
      <c r="Q33" s="61">
        <f t="shared" si="55"/>
        <v>21298.46</v>
      </c>
      <c r="R33" s="61">
        <f t="shared" si="55"/>
        <v>3414.6400000000003</v>
      </c>
      <c r="S33" s="61">
        <f t="shared" si="55"/>
        <v>10621.73</v>
      </c>
      <c r="T33" s="61">
        <f t="shared" si="55"/>
        <v>3841.54</v>
      </c>
      <c r="U33" s="61">
        <f t="shared" si="55"/>
        <v>6175.400000000001</v>
      </c>
      <c r="V33" s="61">
        <f t="shared" si="55"/>
        <v>2992.7</v>
      </c>
      <c r="W33" s="61">
        <f t="shared" si="55"/>
        <v>0</v>
      </c>
      <c r="X33" s="233">
        <f t="shared" si="55"/>
        <v>13132.050000000001</v>
      </c>
      <c r="Y33" s="233">
        <f t="shared" si="55"/>
        <v>14453.13</v>
      </c>
      <c r="Z33" s="217">
        <f t="shared" si="55"/>
        <v>25140</v>
      </c>
      <c r="AA33" s="61">
        <f t="shared" si="55"/>
        <v>4212.77</v>
      </c>
      <c r="AB33" s="61">
        <f t="shared" si="55"/>
        <v>2995.58</v>
      </c>
      <c r="AC33" s="61">
        <f t="shared" si="55"/>
        <v>839.12</v>
      </c>
      <c r="AD33" s="61">
        <f t="shared" si="55"/>
        <v>4710.84</v>
      </c>
      <c r="AE33" s="61">
        <f t="shared" si="55"/>
        <v>13840.87</v>
      </c>
      <c r="AF33" s="61">
        <f t="shared" si="55"/>
        <v>10620.880000000001</v>
      </c>
      <c r="AG33" s="61">
        <f t="shared" si="55"/>
        <v>6821.75</v>
      </c>
      <c r="AH33" s="61">
        <f t="shared" si="55"/>
        <v>6422.68</v>
      </c>
      <c r="AI33" s="71">
        <f t="shared" si="55"/>
        <v>2990</v>
      </c>
      <c r="AJ33" s="71">
        <f t="shared" si="55"/>
        <v>15745.36</v>
      </c>
      <c r="AK33" s="71">
        <f t="shared" si="55"/>
        <v>23259.13</v>
      </c>
      <c r="AL33" s="71">
        <f t="shared" si="55"/>
        <v>14450.000000000002</v>
      </c>
      <c r="AM33" s="68"/>
      <c r="AN33" s="217">
        <f aca="true" t="shared" si="56" ref="AN33:BG33">AN31+AN32</f>
        <v>28877.410000000003</v>
      </c>
      <c r="AO33" s="233">
        <f t="shared" si="56"/>
        <v>37712.26</v>
      </c>
      <c r="AP33" s="226">
        <f t="shared" si="56"/>
        <v>39590</v>
      </c>
      <c r="AQ33" s="386">
        <f t="shared" si="56"/>
        <v>5165.7</v>
      </c>
      <c r="AR33" s="386">
        <f t="shared" si="56"/>
        <v>1589.87</v>
      </c>
      <c r="AS33" s="386">
        <f t="shared" si="56"/>
        <v>2999.13</v>
      </c>
      <c r="AT33" s="386">
        <f t="shared" si="56"/>
        <v>3770.42</v>
      </c>
      <c r="AU33" s="386">
        <f t="shared" si="56"/>
        <v>0</v>
      </c>
      <c r="AV33" s="412">
        <f t="shared" si="56"/>
        <v>3000.87</v>
      </c>
      <c r="AW33" s="355">
        <f t="shared" si="56"/>
        <v>6595.8</v>
      </c>
      <c r="AX33" s="226">
        <f t="shared" si="56"/>
        <v>15218.25</v>
      </c>
      <c r="AY33" s="226">
        <f t="shared" si="56"/>
        <v>11550</v>
      </c>
      <c r="AZ33" s="226">
        <f t="shared" si="56"/>
        <v>15531.92</v>
      </c>
      <c r="BA33" s="226">
        <f t="shared" si="56"/>
        <v>16808.12</v>
      </c>
      <c r="BB33" s="216">
        <f t="shared" si="56"/>
        <v>17550</v>
      </c>
      <c r="BC33" s="215">
        <f t="shared" si="56"/>
        <v>44409.33</v>
      </c>
      <c r="BD33" s="215">
        <f t="shared" si="56"/>
        <v>54520.380000000005</v>
      </c>
      <c r="BE33" s="215">
        <f t="shared" si="56"/>
        <v>57140</v>
      </c>
      <c r="BF33" s="199">
        <f t="shared" si="56"/>
        <v>15284.990000000002</v>
      </c>
      <c r="BG33" s="161">
        <f t="shared" si="56"/>
        <v>5169.619999999995</v>
      </c>
      <c r="BH33" s="161"/>
      <c r="BI33" s="268">
        <f>BI31+BI32</f>
        <v>-2287.7399999999975</v>
      </c>
      <c r="BJ33" s="42">
        <f t="shared" si="43"/>
        <v>4934.37</v>
      </c>
      <c r="BK33" s="320">
        <f>BK31+BK32</f>
        <v>12200</v>
      </c>
      <c r="BL33" s="315">
        <f>BL31+BL32</f>
        <v>59690</v>
      </c>
    </row>
    <row r="34" spans="1:64" s="1" customFormat="1" ht="21.75" customHeight="1" thickBot="1">
      <c r="A34" s="476" t="s">
        <v>25</v>
      </c>
      <c r="B34" s="477"/>
      <c r="C34" s="189"/>
      <c r="D34" s="190">
        <v>61777.71333333334</v>
      </c>
      <c r="E34" s="191">
        <v>-13987.439999999944</v>
      </c>
      <c r="F34" s="124">
        <f>G34+H34+I34+K34</f>
        <v>391000</v>
      </c>
      <c r="G34" s="107">
        <v>63000</v>
      </c>
      <c r="H34" s="107">
        <v>63000</v>
      </c>
      <c r="I34" s="185">
        <v>63000</v>
      </c>
      <c r="J34" s="205">
        <f>G34+H34+I34</f>
        <v>189000</v>
      </c>
      <c r="K34" s="205">
        <v>202000</v>
      </c>
      <c r="L34" s="184">
        <v>68000</v>
      </c>
      <c r="M34" s="184">
        <f>L34</f>
        <v>68000</v>
      </c>
      <c r="N34" s="106">
        <f>K34-L34-M34</f>
        <v>66000</v>
      </c>
      <c r="O34" s="135">
        <v>63286.21</v>
      </c>
      <c r="P34" s="136"/>
      <c r="Q34" s="137"/>
      <c r="R34" s="135">
        <v>55734.9</v>
      </c>
      <c r="S34" s="136"/>
      <c r="T34" s="137"/>
      <c r="U34" s="135">
        <v>44431.03</v>
      </c>
      <c r="V34" s="136"/>
      <c r="W34" s="137"/>
      <c r="X34" s="234">
        <f aca="true" t="shared" si="57" ref="X34:Z35">O34+R34+U34</f>
        <v>163452.14</v>
      </c>
      <c r="Y34" s="235">
        <f t="shared" si="57"/>
        <v>0</v>
      </c>
      <c r="Z34" s="236">
        <f t="shared" si="57"/>
        <v>0</v>
      </c>
      <c r="AA34" s="135">
        <v>62094.81</v>
      </c>
      <c r="AB34" s="144"/>
      <c r="AC34" s="22"/>
      <c r="AD34" s="135">
        <v>57880.27</v>
      </c>
      <c r="AE34" s="144"/>
      <c r="AF34" s="22"/>
      <c r="AG34" s="135">
        <v>35495.5</v>
      </c>
      <c r="AH34" s="144"/>
      <c r="AI34" s="251"/>
      <c r="AJ34" s="212">
        <f aca="true" t="shared" si="58" ref="AJ34:AL38">AA34+AD34+AG34</f>
        <v>155470.58</v>
      </c>
      <c r="AK34" s="213">
        <f t="shared" si="58"/>
        <v>0</v>
      </c>
      <c r="AL34" s="39">
        <f t="shared" si="58"/>
        <v>0</v>
      </c>
      <c r="AN34" s="212">
        <f aca="true" t="shared" si="59" ref="AN34:AP38">X34+AJ34</f>
        <v>318922.72</v>
      </c>
      <c r="AO34" s="335">
        <f t="shared" si="59"/>
        <v>0</v>
      </c>
      <c r="AP34" s="346">
        <f t="shared" si="59"/>
        <v>0</v>
      </c>
      <c r="AQ34" s="387">
        <v>74517.08</v>
      </c>
      <c r="AR34" s="388"/>
      <c r="AS34" s="389"/>
      <c r="AT34" s="387">
        <v>40761.84</v>
      </c>
      <c r="AU34" s="388"/>
      <c r="AV34" s="413"/>
      <c r="AW34" s="356">
        <v>54516.84</v>
      </c>
      <c r="AX34" s="219"/>
      <c r="AY34" s="336"/>
      <c r="AZ34" s="218">
        <f aca="true" t="shared" si="60" ref="AZ34:BB38">AQ34+AT34+AW34</f>
        <v>169795.76</v>
      </c>
      <c r="BA34" s="219">
        <f t="shared" si="60"/>
        <v>0</v>
      </c>
      <c r="BB34" s="220">
        <f t="shared" si="60"/>
        <v>0</v>
      </c>
      <c r="BC34" s="237">
        <f aca="true" t="shared" si="61" ref="BC34:BE37">AN34+AZ34</f>
        <v>488718.48</v>
      </c>
      <c r="BD34" s="238">
        <f t="shared" si="61"/>
        <v>0</v>
      </c>
      <c r="BE34" s="239">
        <f t="shared" si="61"/>
        <v>0</v>
      </c>
      <c r="BF34" s="195"/>
      <c r="BG34" s="263"/>
      <c r="BH34" s="245">
        <f>BL34-BC34</f>
        <v>177041.52000000002</v>
      </c>
      <c r="BI34" s="273">
        <f>AN34-F34</f>
        <v>-72077.28000000003</v>
      </c>
      <c r="BJ34" s="42">
        <f t="shared" si="43"/>
        <v>54302.05333333333</v>
      </c>
      <c r="BK34" s="318">
        <v>274760</v>
      </c>
      <c r="BL34" s="313">
        <f>F34+BK34</f>
        <v>665760</v>
      </c>
    </row>
    <row r="35" spans="1:64" s="1" customFormat="1" ht="21" customHeight="1" thickBot="1">
      <c r="A35" s="461" t="s">
        <v>26</v>
      </c>
      <c r="B35" s="462"/>
      <c r="C35" s="131">
        <v>96623.04999999993</v>
      </c>
      <c r="D35" s="166">
        <v>22255.347500000003</v>
      </c>
      <c r="E35" s="117">
        <v>-117.3300000000163</v>
      </c>
      <c r="F35" s="125">
        <f>G35+H35+I35+K35</f>
        <v>132000</v>
      </c>
      <c r="G35" s="106">
        <v>19000</v>
      </c>
      <c r="H35" s="106">
        <v>19000</v>
      </c>
      <c r="I35" s="184">
        <v>19000</v>
      </c>
      <c r="J35" s="204">
        <f>G35+H35+I35</f>
        <v>57000</v>
      </c>
      <c r="K35" s="202">
        <v>75000</v>
      </c>
      <c r="L35" s="184">
        <v>25000</v>
      </c>
      <c r="M35" s="184">
        <f>L35</f>
        <v>25000</v>
      </c>
      <c r="N35" s="106">
        <f>K35-L35-M35</f>
        <v>25000</v>
      </c>
      <c r="O35" s="138">
        <v>32563.75</v>
      </c>
      <c r="P35" s="134"/>
      <c r="Q35" s="126">
        <v>8796.56</v>
      </c>
      <c r="R35" s="138">
        <v>17701.6</v>
      </c>
      <c r="S35" s="134">
        <v>18791.6</v>
      </c>
      <c r="T35" s="126">
        <v>34592.24</v>
      </c>
      <c r="U35" s="138">
        <v>42319.25</v>
      </c>
      <c r="V35" s="134">
        <v>37675.85</v>
      </c>
      <c r="W35" s="126">
        <v>1.2</v>
      </c>
      <c r="X35" s="227">
        <f t="shared" si="57"/>
        <v>92584.6</v>
      </c>
      <c r="Y35" s="228">
        <f t="shared" si="57"/>
        <v>56467.45</v>
      </c>
      <c r="Z35" s="229">
        <f t="shared" si="57"/>
        <v>43389.99999999999</v>
      </c>
      <c r="AA35" s="138">
        <v>14949.35</v>
      </c>
      <c r="AB35" s="145"/>
      <c r="AC35" s="26"/>
      <c r="AD35" s="138">
        <v>28621.22</v>
      </c>
      <c r="AE35" s="145">
        <v>75144.6</v>
      </c>
      <c r="AF35" s="26">
        <v>18790</v>
      </c>
      <c r="AG35" s="138">
        <v>15374.45</v>
      </c>
      <c r="AH35" s="145">
        <v>0</v>
      </c>
      <c r="AI35" s="249">
        <f>37676.25+3.75</f>
        <v>37680</v>
      </c>
      <c r="AJ35" s="212">
        <f t="shared" si="58"/>
        <v>58945.020000000004</v>
      </c>
      <c r="AK35" s="213">
        <f t="shared" si="58"/>
        <v>75144.6</v>
      </c>
      <c r="AL35" s="39">
        <f t="shared" si="58"/>
        <v>56470</v>
      </c>
      <c r="AM35" s="150"/>
      <c r="AN35" s="212">
        <f t="shared" si="59"/>
        <v>151529.62</v>
      </c>
      <c r="AO35" s="213">
        <f t="shared" si="59"/>
        <v>131612.05</v>
      </c>
      <c r="AP35" s="347">
        <f t="shared" si="59"/>
        <v>99860</v>
      </c>
      <c r="AQ35" s="390">
        <v>41889.79</v>
      </c>
      <c r="AR35" s="391">
        <v>90028.55</v>
      </c>
      <c r="AS35" s="392"/>
      <c r="AT35" s="390">
        <v>25669.5</v>
      </c>
      <c r="AU35" s="391">
        <v>8665.5</v>
      </c>
      <c r="AV35" s="414"/>
      <c r="AW35" s="357">
        <v>37953.8</v>
      </c>
      <c r="AX35" s="238">
        <v>26454.3</v>
      </c>
      <c r="AY35" s="347">
        <f>9.15+75140.85</f>
        <v>75150</v>
      </c>
      <c r="AZ35" s="237">
        <f t="shared" si="60"/>
        <v>105513.09000000001</v>
      </c>
      <c r="BA35" s="238">
        <f t="shared" si="60"/>
        <v>125148.35</v>
      </c>
      <c r="BB35" s="239">
        <f t="shared" si="60"/>
        <v>75150</v>
      </c>
      <c r="BC35" s="227">
        <f t="shared" si="61"/>
        <v>257042.71000000002</v>
      </c>
      <c r="BD35" s="228">
        <f t="shared" si="61"/>
        <v>256760.4</v>
      </c>
      <c r="BE35" s="229">
        <f t="shared" si="61"/>
        <v>175010</v>
      </c>
      <c r="BF35" s="196">
        <f>C35+BD35-BC35</f>
        <v>96340.73999999993</v>
      </c>
      <c r="BG35" s="263">
        <f>BL35-BD35</f>
        <v>5829.600000000006</v>
      </c>
      <c r="BH35" s="245"/>
      <c r="BI35" s="274">
        <f>AO35-F35</f>
        <v>-387.95000000001164</v>
      </c>
      <c r="BJ35" s="42">
        <f t="shared" si="43"/>
        <v>28560.301111111112</v>
      </c>
      <c r="BK35" s="318">
        <v>125380</v>
      </c>
      <c r="BL35" s="313">
        <f>F35+BK35+5210</f>
        <v>262590</v>
      </c>
    </row>
    <row r="36" spans="1:64" s="1" customFormat="1" ht="25.5" customHeight="1" thickBot="1">
      <c r="A36" s="463" t="s">
        <v>38</v>
      </c>
      <c r="B36" s="464"/>
      <c r="C36" s="133"/>
      <c r="D36" s="169">
        <v>65224</v>
      </c>
      <c r="E36" s="97">
        <v>-2480</v>
      </c>
      <c r="F36" s="102">
        <f>G36+H36+I36+K36+80848</f>
        <v>312976</v>
      </c>
      <c r="G36" s="139">
        <v>38688</v>
      </c>
      <c r="H36" s="139">
        <v>38688</v>
      </c>
      <c r="I36" s="186">
        <v>38688</v>
      </c>
      <c r="J36" s="188">
        <f>G36+H36+I36</f>
        <v>116064</v>
      </c>
      <c r="K36" s="102">
        <v>116064</v>
      </c>
      <c r="L36" s="184">
        <v>38688</v>
      </c>
      <c r="M36" s="184">
        <f>L36</f>
        <v>38688</v>
      </c>
      <c r="N36" s="106">
        <f>K36-L36-M36</f>
        <v>38688</v>
      </c>
      <c r="O36" s="140">
        <v>33728</v>
      </c>
      <c r="P36" s="141"/>
      <c r="Q36" s="142">
        <v>31248</v>
      </c>
      <c r="R36" s="140">
        <v>29760</v>
      </c>
      <c r="S36" s="141"/>
      <c r="T36" s="142">
        <f>33728+110112</f>
        <v>143840</v>
      </c>
      <c r="U36" s="140">
        <v>32240</v>
      </c>
      <c r="V36" s="141"/>
      <c r="W36" s="142">
        <v>29760</v>
      </c>
      <c r="X36" s="237">
        <f>O36+R36+U36+80848</f>
        <v>176576</v>
      </c>
      <c r="Y36" s="238">
        <f aca="true" t="shared" si="62" ref="Y36:Z38">P36+S36+V36</f>
        <v>0</v>
      </c>
      <c r="Z36" s="239">
        <f t="shared" si="62"/>
        <v>204848</v>
      </c>
      <c r="AA36" s="140">
        <v>32240</v>
      </c>
      <c r="AB36" s="146"/>
      <c r="AC36" s="193">
        <v>32240</v>
      </c>
      <c r="AD36" s="140">
        <v>34224</v>
      </c>
      <c r="AE36" s="146"/>
      <c r="AF36" s="193">
        <f>32240+80848</f>
        <v>113088</v>
      </c>
      <c r="AG36" s="140">
        <v>26288</v>
      </c>
      <c r="AH36" s="146"/>
      <c r="AI36" s="252">
        <v>34224</v>
      </c>
      <c r="AJ36" s="212">
        <f>AA36+AD36+AG36+85312</f>
        <v>178064</v>
      </c>
      <c r="AK36" s="213">
        <f t="shared" si="58"/>
        <v>0</v>
      </c>
      <c r="AL36" s="39">
        <f t="shared" si="58"/>
        <v>179552</v>
      </c>
      <c r="AN36" s="212">
        <f t="shared" si="59"/>
        <v>354640</v>
      </c>
      <c r="AO36" s="335">
        <f t="shared" si="59"/>
        <v>0</v>
      </c>
      <c r="AP36" s="328">
        <f t="shared" si="59"/>
        <v>384400</v>
      </c>
      <c r="AQ36" s="393">
        <v>31416</v>
      </c>
      <c r="AR36" s="394"/>
      <c r="AS36" s="395">
        <v>26288</v>
      </c>
      <c r="AT36" s="393">
        <v>38148</v>
      </c>
      <c r="AU36" s="394"/>
      <c r="AV36" s="415">
        <v>31416</v>
      </c>
      <c r="AW36" s="358">
        <v>39831</v>
      </c>
      <c r="AX36" s="228"/>
      <c r="AY36" s="348">
        <f>85312+38148</f>
        <v>123460</v>
      </c>
      <c r="AZ36" s="227">
        <f t="shared" si="60"/>
        <v>109395</v>
      </c>
      <c r="BA36" s="228">
        <f t="shared" si="60"/>
        <v>0</v>
      </c>
      <c r="BB36" s="229">
        <f t="shared" si="60"/>
        <v>181164</v>
      </c>
      <c r="BC36" s="227">
        <f t="shared" si="61"/>
        <v>464035</v>
      </c>
      <c r="BD36" s="228">
        <f t="shared" si="61"/>
        <v>0</v>
      </c>
      <c r="BE36" s="229">
        <f t="shared" si="61"/>
        <v>565564</v>
      </c>
      <c r="BF36" s="196"/>
      <c r="BG36" s="263"/>
      <c r="BH36" s="245">
        <f>BL36-BC36</f>
        <v>180467</v>
      </c>
      <c r="BI36" s="273">
        <f>AN36-F36</f>
        <v>41664</v>
      </c>
      <c r="BJ36" s="42">
        <f t="shared" si="43"/>
        <v>51559.444444444445</v>
      </c>
      <c r="BK36" s="318">
        <v>212058</v>
      </c>
      <c r="BL36" s="313">
        <f>F36+BK36+33660+85808</f>
        <v>644502</v>
      </c>
    </row>
    <row r="37" spans="1:64" s="1" customFormat="1" ht="18.75" customHeight="1" hidden="1" thickBot="1">
      <c r="A37" s="469" t="s">
        <v>34</v>
      </c>
      <c r="B37" s="470"/>
      <c r="C37" s="151"/>
      <c r="D37" s="170">
        <v>0</v>
      </c>
      <c r="E37" s="152"/>
      <c r="F37" s="121">
        <f>G37+H37+I37</f>
        <v>0</v>
      </c>
      <c r="G37" s="120">
        <v>0</v>
      </c>
      <c r="H37" s="120">
        <v>0</v>
      </c>
      <c r="I37" s="187"/>
      <c r="J37" s="186">
        <f>G37+H37+I37</f>
        <v>0</v>
      </c>
      <c r="K37" s="186"/>
      <c r="L37" s="185"/>
      <c r="M37" s="185">
        <f>L37</f>
        <v>0</v>
      </c>
      <c r="N37" s="107">
        <f>K37-L37-M37</f>
        <v>0</v>
      </c>
      <c r="O37" s="153"/>
      <c r="P37" s="154"/>
      <c r="Q37" s="155"/>
      <c r="R37" s="153"/>
      <c r="S37" s="154"/>
      <c r="T37" s="155"/>
      <c r="U37" s="153"/>
      <c r="V37" s="154"/>
      <c r="W37" s="155"/>
      <c r="X37" s="240">
        <f>O37+R37+U37</f>
        <v>0</v>
      </c>
      <c r="Y37" s="241">
        <f t="shared" si="62"/>
        <v>0</v>
      </c>
      <c r="Z37" s="242">
        <f t="shared" si="62"/>
        <v>0</v>
      </c>
      <c r="AA37" s="153"/>
      <c r="AB37" s="156"/>
      <c r="AC37" s="194"/>
      <c r="AD37" s="153"/>
      <c r="AE37" s="156"/>
      <c r="AF37" s="194"/>
      <c r="AG37" s="153"/>
      <c r="AH37" s="156"/>
      <c r="AI37" s="253"/>
      <c r="AJ37" s="212">
        <f t="shared" si="58"/>
        <v>0</v>
      </c>
      <c r="AK37" s="213">
        <f t="shared" si="58"/>
        <v>0</v>
      </c>
      <c r="AL37" s="39">
        <f t="shared" si="58"/>
        <v>0</v>
      </c>
      <c r="AM37" s="192"/>
      <c r="AN37" s="234">
        <f t="shared" si="59"/>
        <v>0</v>
      </c>
      <c r="AO37" s="235">
        <f t="shared" si="59"/>
        <v>0</v>
      </c>
      <c r="AP37" s="347">
        <f t="shared" si="59"/>
        <v>0</v>
      </c>
      <c r="AQ37" s="369"/>
      <c r="AR37" s="375"/>
      <c r="AS37" s="376"/>
      <c r="AT37" s="369"/>
      <c r="AU37" s="375"/>
      <c r="AV37" s="409"/>
      <c r="AW37" s="357"/>
      <c r="AX37" s="238"/>
      <c r="AY37" s="347"/>
      <c r="AZ37" s="230">
        <f t="shared" si="60"/>
        <v>0</v>
      </c>
      <c r="BA37" s="231">
        <f t="shared" si="60"/>
        <v>0</v>
      </c>
      <c r="BB37" s="232">
        <f t="shared" si="60"/>
        <v>0</v>
      </c>
      <c r="BC37" s="227">
        <f t="shared" si="61"/>
        <v>0</v>
      </c>
      <c r="BD37" s="231">
        <f t="shared" si="61"/>
        <v>0</v>
      </c>
      <c r="BE37" s="232">
        <f t="shared" si="61"/>
        <v>0</v>
      </c>
      <c r="BF37" s="197"/>
      <c r="BG37" s="263">
        <f>F37-AO37</f>
        <v>0</v>
      </c>
      <c r="BH37" s="245">
        <f>F37-AN37</f>
        <v>0</v>
      </c>
      <c r="BI37" s="274">
        <f>AN37-J37</f>
        <v>0</v>
      </c>
      <c r="BJ37" s="42">
        <f t="shared" si="43"/>
        <v>0</v>
      </c>
      <c r="BK37" s="318"/>
      <c r="BL37" s="313">
        <f>F37+BK37</f>
        <v>0</v>
      </c>
    </row>
    <row r="38" spans="1:64" s="1" customFormat="1" ht="23.25" customHeight="1" thickBot="1">
      <c r="A38" s="471" t="s">
        <v>35</v>
      </c>
      <c r="B38" s="458"/>
      <c r="C38" s="130"/>
      <c r="D38" s="165">
        <v>400</v>
      </c>
      <c r="E38" s="119">
        <v>-110</v>
      </c>
      <c r="F38" s="102">
        <f>G38+H38+I38+K38</f>
        <v>3000</v>
      </c>
      <c r="G38" s="102">
        <v>1000</v>
      </c>
      <c r="H38" s="102">
        <v>0</v>
      </c>
      <c r="I38" s="188">
        <v>0</v>
      </c>
      <c r="J38" s="188">
        <f>G38+H38+I38</f>
        <v>1000</v>
      </c>
      <c r="K38" s="102">
        <v>2000</v>
      </c>
      <c r="L38" s="184">
        <v>660</v>
      </c>
      <c r="M38" s="184">
        <f>L38</f>
        <v>660</v>
      </c>
      <c r="N38" s="106">
        <f>K38-L38-M38</f>
        <v>680</v>
      </c>
      <c r="O38" s="138">
        <v>180</v>
      </c>
      <c r="P38" s="134"/>
      <c r="Q38" s="126">
        <v>570</v>
      </c>
      <c r="R38" s="138">
        <v>380</v>
      </c>
      <c r="S38" s="134"/>
      <c r="T38" s="126">
        <v>420</v>
      </c>
      <c r="U38" s="138">
        <v>440</v>
      </c>
      <c r="V38" s="134"/>
      <c r="W38" s="126">
        <v>400</v>
      </c>
      <c r="X38" s="227">
        <f>O38+R38+U38</f>
        <v>1000</v>
      </c>
      <c r="Y38" s="228">
        <f t="shared" si="62"/>
        <v>0</v>
      </c>
      <c r="Z38" s="229">
        <f t="shared" si="62"/>
        <v>1390</v>
      </c>
      <c r="AA38" s="138">
        <v>560</v>
      </c>
      <c r="AB38" s="145"/>
      <c r="AC38" s="26">
        <v>180</v>
      </c>
      <c r="AD38" s="138">
        <v>660</v>
      </c>
      <c r="AE38" s="145"/>
      <c r="AF38" s="26">
        <v>380</v>
      </c>
      <c r="AG38" s="138">
        <v>440</v>
      </c>
      <c r="AH38" s="145"/>
      <c r="AI38" s="249">
        <v>480</v>
      </c>
      <c r="AJ38" s="218">
        <f t="shared" si="58"/>
        <v>1660</v>
      </c>
      <c r="AK38" s="219">
        <f t="shared" si="58"/>
        <v>0</v>
      </c>
      <c r="AL38" s="220">
        <f t="shared" si="58"/>
        <v>1040</v>
      </c>
      <c r="AM38" s="150"/>
      <c r="AN38" s="227">
        <f t="shared" si="59"/>
        <v>2660</v>
      </c>
      <c r="AO38" s="228">
        <f t="shared" si="59"/>
        <v>0</v>
      </c>
      <c r="AP38" s="229">
        <f t="shared" si="59"/>
        <v>2430</v>
      </c>
      <c r="AQ38" s="382">
        <v>480</v>
      </c>
      <c r="AR38" s="383"/>
      <c r="AS38" s="384">
        <v>560</v>
      </c>
      <c r="AT38" s="382">
        <v>180</v>
      </c>
      <c r="AU38" s="383"/>
      <c r="AV38" s="406">
        <v>560</v>
      </c>
      <c r="AW38" s="209">
        <v>700</v>
      </c>
      <c r="AX38" s="210"/>
      <c r="AY38" s="211">
        <v>540</v>
      </c>
      <c r="AZ38" s="212">
        <f t="shared" si="60"/>
        <v>1360</v>
      </c>
      <c r="BA38" s="213">
        <f t="shared" si="60"/>
        <v>0</v>
      </c>
      <c r="BB38" s="39">
        <f t="shared" si="60"/>
        <v>1660</v>
      </c>
      <c r="BC38" s="227">
        <f>AN38+AZ38</f>
        <v>4020</v>
      </c>
      <c r="BD38" s="213">
        <f>AU38+AX38+BA38</f>
        <v>0</v>
      </c>
      <c r="BE38" s="39">
        <f>AV38+AY38+BB38</f>
        <v>2760</v>
      </c>
      <c r="BF38" s="198"/>
      <c r="BG38" s="275"/>
      <c r="BH38" s="246">
        <f>BL38-BC38</f>
        <v>1230</v>
      </c>
      <c r="BI38" s="273">
        <f>AN38-F38</f>
        <v>-340</v>
      </c>
      <c r="BJ38" s="42">
        <f t="shared" si="43"/>
        <v>446.6666666666667</v>
      </c>
      <c r="BK38" s="319">
        <v>1870</v>
      </c>
      <c r="BL38" s="362">
        <f>F38+BK38+380</f>
        <v>5250</v>
      </c>
    </row>
    <row r="39" spans="1:64" s="1" customFormat="1" ht="29.25" customHeight="1" thickBot="1">
      <c r="A39" s="465" t="s">
        <v>67</v>
      </c>
      <c r="B39" s="466"/>
      <c r="C39" s="92">
        <v>2745268.12</v>
      </c>
      <c r="D39" s="171"/>
      <c r="E39" s="92"/>
      <c r="F39" s="108">
        <f aca="true" t="shared" si="63" ref="F39:AL39">F7+F10+F13+F17+F21+F29+F33+F34+F35+F36+F37+F38</f>
        <v>26475976</v>
      </c>
      <c r="G39" s="108">
        <f t="shared" si="63"/>
        <v>4288688</v>
      </c>
      <c r="H39" s="108">
        <f t="shared" si="63"/>
        <v>4283688</v>
      </c>
      <c r="I39" s="108">
        <f t="shared" si="63"/>
        <v>3959688</v>
      </c>
      <c r="J39" s="108">
        <f t="shared" si="63"/>
        <v>12926064</v>
      </c>
      <c r="K39" s="108">
        <f t="shared" si="63"/>
        <v>13469064</v>
      </c>
      <c r="L39" s="108">
        <f t="shared" si="63"/>
        <v>4594348</v>
      </c>
      <c r="M39" s="108">
        <f t="shared" si="63"/>
        <v>4593348</v>
      </c>
      <c r="N39" s="108">
        <f t="shared" si="63"/>
        <v>4281368</v>
      </c>
      <c r="O39" s="62">
        <f t="shared" si="63"/>
        <v>4256609.01</v>
      </c>
      <c r="P39" s="62">
        <f t="shared" si="63"/>
        <v>316089.05</v>
      </c>
      <c r="Q39" s="62">
        <f t="shared" si="63"/>
        <v>1394770.81</v>
      </c>
      <c r="R39" s="62">
        <f t="shared" si="63"/>
        <v>4458543.039999999</v>
      </c>
      <c r="S39" s="62">
        <f t="shared" si="63"/>
        <v>396069.04999999993</v>
      </c>
      <c r="T39" s="62">
        <f t="shared" si="63"/>
        <v>777974.64</v>
      </c>
      <c r="U39" s="62">
        <f t="shared" si="63"/>
        <v>4527361.65</v>
      </c>
      <c r="V39" s="62">
        <f t="shared" si="63"/>
        <v>904386.6899999998</v>
      </c>
      <c r="W39" s="62">
        <f t="shared" si="63"/>
        <v>1371082.1000000003</v>
      </c>
      <c r="X39" s="221">
        <f t="shared" si="63"/>
        <v>13323361.700000001</v>
      </c>
      <c r="Y39" s="221">
        <f t="shared" si="63"/>
        <v>1616544.7899999996</v>
      </c>
      <c r="Z39" s="221">
        <f t="shared" si="63"/>
        <v>3543827.55</v>
      </c>
      <c r="AA39" s="62">
        <f t="shared" si="63"/>
        <v>4331041.419999999</v>
      </c>
      <c r="AB39" s="62">
        <f t="shared" si="63"/>
        <v>1592698.5200000003</v>
      </c>
      <c r="AC39" s="62">
        <f t="shared" si="63"/>
        <v>433955.83</v>
      </c>
      <c r="AD39" s="62">
        <f t="shared" si="63"/>
        <v>5252610.009999999</v>
      </c>
      <c r="AE39" s="62">
        <f t="shared" si="63"/>
        <v>1838542.8200000003</v>
      </c>
      <c r="AF39" s="62">
        <f t="shared" si="63"/>
        <v>673236.42</v>
      </c>
      <c r="AG39" s="62">
        <f t="shared" si="63"/>
        <v>4591621.07</v>
      </c>
      <c r="AH39" s="62">
        <f t="shared" si="63"/>
        <v>396679.98</v>
      </c>
      <c r="AI39" s="62">
        <f t="shared" si="63"/>
        <v>929423.6799999999</v>
      </c>
      <c r="AJ39" s="62">
        <f t="shared" si="63"/>
        <v>14260584.499999998</v>
      </c>
      <c r="AK39" s="62">
        <f t="shared" si="63"/>
        <v>3827921.3199999994</v>
      </c>
      <c r="AL39" s="62">
        <f t="shared" si="63"/>
        <v>2036615.93</v>
      </c>
      <c r="AM39" s="62"/>
      <c r="AN39" s="221">
        <f aca="true" t="shared" si="64" ref="AN39:BL39">AN7+AN10+AN13+AN17+AN21+AN29+AN33+AN34+AN35+AN36+AN37+AN38</f>
        <v>27976201.200000003</v>
      </c>
      <c r="AO39" s="221">
        <f t="shared" si="64"/>
        <v>5444466.1099999985</v>
      </c>
      <c r="AP39" s="337">
        <f t="shared" si="64"/>
        <v>5580443.48</v>
      </c>
      <c r="AQ39" s="396">
        <f t="shared" si="64"/>
        <v>4872299.039999999</v>
      </c>
      <c r="AR39" s="396">
        <f t="shared" si="64"/>
        <v>1612928.8900000001</v>
      </c>
      <c r="AS39" s="396">
        <f t="shared" si="64"/>
        <v>1675494.48</v>
      </c>
      <c r="AT39" s="396">
        <f t="shared" si="64"/>
        <v>4931170.82</v>
      </c>
      <c r="AU39" s="396">
        <f t="shared" si="64"/>
        <v>832492.04</v>
      </c>
      <c r="AV39" s="396">
        <f t="shared" si="64"/>
        <v>1562286.3100000003</v>
      </c>
      <c r="AW39" s="337">
        <f t="shared" si="64"/>
        <v>4922358.8</v>
      </c>
      <c r="AX39" s="337">
        <f t="shared" si="64"/>
        <v>1605114.8699999999</v>
      </c>
      <c r="AY39" s="337">
        <f t="shared" si="64"/>
        <v>664828.95</v>
      </c>
      <c r="AZ39" s="337">
        <f t="shared" si="64"/>
        <v>14725828.659999998</v>
      </c>
      <c r="BA39" s="337">
        <f t="shared" si="64"/>
        <v>4050535.8000000003</v>
      </c>
      <c r="BB39" s="337">
        <f t="shared" si="64"/>
        <v>3902609.74</v>
      </c>
      <c r="BC39" s="337">
        <f t="shared" si="64"/>
        <v>42702029.86</v>
      </c>
      <c r="BD39" s="337">
        <f t="shared" si="64"/>
        <v>9495001.910000002</v>
      </c>
      <c r="BE39" s="221">
        <f t="shared" si="64"/>
        <v>9481723.22</v>
      </c>
      <c r="BF39" s="330">
        <f t="shared" si="64"/>
        <v>130746.58999999994</v>
      </c>
      <c r="BG39" s="92">
        <f t="shared" si="64"/>
        <v>50020.92</v>
      </c>
      <c r="BH39" s="258">
        <f t="shared" si="64"/>
        <v>1392585.96</v>
      </c>
      <c r="BI39" s="92">
        <f t="shared" si="64"/>
        <v>845238.229999999</v>
      </c>
      <c r="BJ39" s="287">
        <f t="shared" si="64"/>
        <v>4744669.984444445</v>
      </c>
      <c r="BK39" s="288">
        <f t="shared" si="64"/>
        <v>16860878</v>
      </c>
      <c r="BL39" s="363">
        <f t="shared" si="64"/>
        <v>48912712</v>
      </c>
    </row>
    <row r="40" spans="1:64" s="8" customFormat="1" ht="16.5" customHeight="1">
      <c r="A40" s="2" t="s">
        <v>19</v>
      </c>
      <c r="B40" s="89" t="s">
        <v>39</v>
      </c>
      <c r="C40" s="83">
        <v>1918189.51</v>
      </c>
      <c r="D40" s="172"/>
      <c r="E40" s="83"/>
      <c r="F40" s="109">
        <f aca="true" t="shared" si="65" ref="F40:AL40">F7+F13+F21+F29+F33+F34</f>
        <v>23596000</v>
      </c>
      <c r="G40" s="109">
        <f t="shared" si="65"/>
        <v>3769000</v>
      </c>
      <c r="H40" s="109">
        <f t="shared" si="65"/>
        <v>3766000</v>
      </c>
      <c r="I40" s="109">
        <f t="shared" si="65"/>
        <v>3442000</v>
      </c>
      <c r="J40" s="109">
        <f t="shared" si="65"/>
        <v>11356000</v>
      </c>
      <c r="K40" s="109">
        <f t="shared" si="65"/>
        <v>12240000</v>
      </c>
      <c r="L40" s="109">
        <f t="shared" si="65"/>
        <v>4082000</v>
      </c>
      <c r="M40" s="109">
        <f t="shared" si="65"/>
        <v>4081000</v>
      </c>
      <c r="N40" s="109">
        <f t="shared" si="65"/>
        <v>4077000</v>
      </c>
      <c r="O40" s="109">
        <f t="shared" si="65"/>
        <v>3860038.8299999996</v>
      </c>
      <c r="P40" s="109">
        <f t="shared" si="65"/>
        <v>283681.17</v>
      </c>
      <c r="Q40" s="109">
        <f t="shared" si="65"/>
        <v>1135749.7</v>
      </c>
      <c r="R40" s="109">
        <f t="shared" si="65"/>
        <v>3966500.36</v>
      </c>
      <c r="S40" s="109">
        <f t="shared" si="65"/>
        <v>288155.77999999997</v>
      </c>
      <c r="T40" s="109">
        <f t="shared" si="65"/>
        <v>374445.1</v>
      </c>
      <c r="U40" s="109">
        <f t="shared" si="65"/>
        <v>4005928.7199999997</v>
      </c>
      <c r="V40" s="109">
        <f t="shared" si="65"/>
        <v>613886.6499999999</v>
      </c>
      <c r="W40" s="109">
        <f t="shared" si="65"/>
        <v>1113442.64</v>
      </c>
      <c r="X40" s="109">
        <f t="shared" si="65"/>
        <v>11832467.91</v>
      </c>
      <c r="Y40" s="109">
        <f t="shared" si="65"/>
        <v>1185723.5999999996</v>
      </c>
      <c r="Z40" s="109">
        <f t="shared" si="65"/>
        <v>2623637.44</v>
      </c>
      <c r="AA40" s="109">
        <f t="shared" si="65"/>
        <v>3873165.56</v>
      </c>
      <c r="AB40" s="109">
        <f t="shared" si="65"/>
        <v>1349557.4000000001</v>
      </c>
      <c r="AC40" s="109">
        <f t="shared" si="65"/>
        <v>312418.2</v>
      </c>
      <c r="AD40" s="109">
        <f t="shared" si="65"/>
        <v>4587697.529999999</v>
      </c>
      <c r="AE40" s="109">
        <f t="shared" si="65"/>
        <v>1464294.1500000001</v>
      </c>
      <c r="AF40" s="109">
        <f t="shared" si="65"/>
        <v>288154.93</v>
      </c>
      <c r="AG40" s="109">
        <f t="shared" si="65"/>
        <v>4119969.82</v>
      </c>
      <c r="AH40" s="109">
        <f t="shared" si="65"/>
        <v>301510.31</v>
      </c>
      <c r="AI40" s="109">
        <f t="shared" si="65"/>
        <v>613894.6299999999</v>
      </c>
      <c r="AJ40" s="109">
        <f t="shared" si="65"/>
        <v>12580832.909999998</v>
      </c>
      <c r="AK40" s="109">
        <f t="shared" si="65"/>
        <v>3115361.8599999994</v>
      </c>
      <c r="AL40" s="109">
        <f t="shared" si="65"/>
        <v>1214467.76</v>
      </c>
      <c r="AM40" s="109"/>
      <c r="AN40" s="109">
        <f aca="true" t="shared" si="66" ref="AN40:BL40">AN7+AN13+AN21+AN29+AN33+AN34</f>
        <v>24791041.82</v>
      </c>
      <c r="AO40" s="109">
        <f t="shared" si="66"/>
        <v>4301085.459999999</v>
      </c>
      <c r="AP40" s="147">
        <f t="shared" si="66"/>
        <v>3838105.2</v>
      </c>
      <c r="AQ40" s="397">
        <f t="shared" si="66"/>
        <v>4247895.9799999995</v>
      </c>
      <c r="AR40" s="397">
        <f t="shared" si="66"/>
        <v>1363928.6400000001</v>
      </c>
      <c r="AS40" s="397">
        <f t="shared" si="66"/>
        <v>1349550.27</v>
      </c>
      <c r="AT40" s="397">
        <f t="shared" si="66"/>
        <v>4325712.4399999995</v>
      </c>
      <c r="AU40" s="424">
        <f t="shared" si="66"/>
        <v>594542.64</v>
      </c>
      <c r="AV40" s="424">
        <f t="shared" si="66"/>
        <v>1435144.9300000002</v>
      </c>
      <c r="AW40" s="425">
        <f t="shared" si="66"/>
        <v>4362649.87</v>
      </c>
      <c r="AX40" s="425">
        <f t="shared" si="66"/>
        <v>1220178.15</v>
      </c>
      <c r="AY40" s="425">
        <f t="shared" si="66"/>
        <v>306698.33</v>
      </c>
      <c r="AZ40" s="425">
        <f t="shared" si="66"/>
        <v>12936258.289999997</v>
      </c>
      <c r="BA40" s="425">
        <f t="shared" si="66"/>
        <v>3178649.43</v>
      </c>
      <c r="BB40" s="147">
        <f t="shared" si="66"/>
        <v>3091393.5300000003</v>
      </c>
      <c r="BC40" s="147">
        <f t="shared" si="66"/>
        <v>37727300.11</v>
      </c>
      <c r="BD40" s="147">
        <f t="shared" si="66"/>
        <v>7479734.89</v>
      </c>
      <c r="BE40" s="147">
        <f t="shared" si="66"/>
        <v>6929498.7299999995</v>
      </c>
      <c r="BF40" s="147">
        <f t="shared" si="66"/>
        <v>34405.850000000006</v>
      </c>
      <c r="BG40" s="147">
        <f t="shared" si="66"/>
        <v>44191.31999999999</v>
      </c>
      <c r="BH40" s="147">
        <f t="shared" si="66"/>
        <v>1210888.96</v>
      </c>
      <c r="BI40" s="147">
        <f t="shared" si="66"/>
        <v>817260.9999999991</v>
      </c>
      <c r="BJ40" s="147">
        <f t="shared" si="66"/>
        <v>4191922.2344444445</v>
      </c>
      <c r="BK40" s="147">
        <f t="shared" si="66"/>
        <v>14754950</v>
      </c>
      <c r="BL40" s="403">
        <f t="shared" si="66"/>
        <v>42995600</v>
      </c>
    </row>
    <row r="41" spans="1:64" s="8" customFormat="1" ht="17.25" customHeight="1" thickBot="1">
      <c r="A41" s="10"/>
      <c r="B41" s="81" t="s">
        <v>20</v>
      </c>
      <c r="C41" s="63">
        <v>96623.04999999993</v>
      </c>
      <c r="D41" s="173"/>
      <c r="E41" s="63"/>
      <c r="F41" s="110">
        <f aca="true" t="shared" si="67" ref="F41:AL41">F17+F35</f>
        <v>913000</v>
      </c>
      <c r="G41" s="110">
        <f t="shared" si="67"/>
        <v>135000</v>
      </c>
      <c r="H41" s="110">
        <f t="shared" si="67"/>
        <v>134000</v>
      </c>
      <c r="I41" s="110">
        <f t="shared" si="67"/>
        <v>134000</v>
      </c>
      <c r="J41" s="110">
        <f t="shared" si="67"/>
        <v>418000</v>
      </c>
      <c r="K41" s="110">
        <f t="shared" si="67"/>
        <v>495000</v>
      </c>
      <c r="L41" s="110">
        <f t="shared" si="67"/>
        <v>165000</v>
      </c>
      <c r="M41" s="110">
        <f t="shared" si="67"/>
        <v>165000</v>
      </c>
      <c r="N41" s="110">
        <f t="shared" si="67"/>
        <v>165000</v>
      </c>
      <c r="O41" s="110">
        <f t="shared" si="67"/>
        <v>156155.75</v>
      </c>
      <c r="P41" s="110">
        <f t="shared" si="67"/>
        <v>0</v>
      </c>
      <c r="Q41" s="110">
        <f t="shared" si="67"/>
        <v>8796.56</v>
      </c>
      <c r="R41" s="110">
        <f t="shared" si="67"/>
        <v>154102.2</v>
      </c>
      <c r="S41" s="110">
        <f t="shared" si="67"/>
        <v>18791.6</v>
      </c>
      <c r="T41" s="110">
        <f t="shared" si="67"/>
        <v>34592.24</v>
      </c>
      <c r="U41" s="110">
        <f t="shared" si="67"/>
        <v>180955.65</v>
      </c>
      <c r="V41" s="110">
        <f t="shared" si="67"/>
        <v>37675.85</v>
      </c>
      <c r="W41" s="110">
        <f t="shared" si="67"/>
        <v>1.2</v>
      </c>
      <c r="X41" s="110">
        <f t="shared" si="67"/>
        <v>491213.6</v>
      </c>
      <c r="Y41" s="110">
        <f t="shared" si="67"/>
        <v>56467.45</v>
      </c>
      <c r="Z41" s="110">
        <f t="shared" si="67"/>
        <v>43389.99999999999</v>
      </c>
      <c r="AA41" s="110">
        <f t="shared" si="67"/>
        <v>137880.35</v>
      </c>
      <c r="AB41" s="110">
        <f t="shared" si="67"/>
        <v>0</v>
      </c>
      <c r="AC41" s="110">
        <f t="shared" si="67"/>
        <v>0</v>
      </c>
      <c r="AD41" s="110">
        <f t="shared" si="67"/>
        <v>177845.82</v>
      </c>
      <c r="AE41" s="110">
        <f t="shared" si="67"/>
        <v>75144.6</v>
      </c>
      <c r="AF41" s="110">
        <f t="shared" si="67"/>
        <v>18790</v>
      </c>
      <c r="AG41" s="110">
        <f t="shared" si="67"/>
        <v>154454.45</v>
      </c>
      <c r="AH41" s="110">
        <f t="shared" si="67"/>
        <v>0</v>
      </c>
      <c r="AI41" s="110">
        <f t="shared" si="67"/>
        <v>37680</v>
      </c>
      <c r="AJ41" s="110">
        <f t="shared" si="67"/>
        <v>470180.62</v>
      </c>
      <c r="AK41" s="110">
        <f t="shared" si="67"/>
        <v>75144.6</v>
      </c>
      <c r="AL41" s="110">
        <f t="shared" si="67"/>
        <v>56470</v>
      </c>
      <c r="AM41" s="110"/>
      <c r="AN41" s="110">
        <f aca="true" t="shared" si="68" ref="AN41:BL41">AN17+AN35</f>
        <v>975908.22</v>
      </c>
      <c r="AO41" s="110">
        <f t="shared" si="68"/>
        <v>131612.05</v>
      </c>
      <c r="AP41" s="148">
        <f t="shared" si="68"/>
        <v>99860</v>
      </c>
      <c r="AQ41" s="398">
        <f t="shared" si="68"/>
        <v>173632.39</v>
      </c>
      <c r="AR41" s="398">
        <f t="shared" si="68"/>
        <v>90028.55</v>
      </c>
      <c r="AS41" s="398">
        <f t="shared" si="68"/>
        <v>0</v>
      </c>
      <c r="AT41" s="398">
        <f t="shared" si="68"/>
        <v>172365.9</v>
      </c>
      <c r="AU41" s="426">
        <f t="shared" si="68"/>
        <v>8665.5</v>
      </c>
      <c r="AV41" s="426">
        <f t="shared" si="68"/>
        <v>0</v>
      </c>
      <c r="AW41" s="427">
        <f t="shared" si="68"/>
        <v>180467.59999999998</v>
      </c>
      <c r="AX41" s="427">
        <f t="shared" si="68"/>
        <v>26454.3</v>
      </c>
      <c r="AY41" s="427">
        <f t="shared" si="68"/>
        <v>75150</v>
      </c>
      <c r="AZ41" s="427">
        <f t="shared" si="68"/>
        <v>526465.89</v>
      </c>
      <c r="BA41" s="427">
        <f t="shared" si="68"/>
        <v>125148.35</v>
      </c>
      <c r="BB41" s="148">
        <f t="shared" si="68"/>
        <v>75150</v>
      </c>
      <c r="BC41" s="148">
        <f t="shared" si="68"/>
        <v>1502374.1099999999</v>
      </c>
      <c r="BD41" s="148">
        <f t="shared" si="68"/>
        <v>256760.4</v>
      </c>
      <c r="BE41" s="148">
        <f t="shared" si="68"/>
        <v>175010</v>
      </c>
      <c r="BF41" s="148">
        <f t="shared" si="68"/>
        <v>96340.73999999993</v>
      </c>
      <c r="BG41" s="148">
        <f t="shared" si="68"/>
        <v>5829.600000000006</v>
      </c>
      <c r="BH41" s="148">
        <f t="shared" si="68"/>
        <v>0</v>
      </c>
      <c r="BI41" s="148">
        <f t="shared" si="68"/>
        <v>42990.649999999965</v>
      </c>
      <c r="BJ41" s="148">
        <f t="shared" si="68"/>
        <v>166930.45666666667</v>
      </c>
      <c r="BK41" s="148">
        <f t="shared" si="68"/>
        <v>1000000</v>
      </c>
      <c r="BL41" s="404">
        <f t="shared" si="68"/>
        <v>1918210</v>
      </c>
    </row>
    <row r="42" spans="1:64" s="8" customFormat="1" ht="24.75" customHeight="1" thickBot="1">
      <c r="A42" s="27" t="s">
        <v>19</v>
      </c>
      <c r="B42" s="28"/>
      <c r="C42" s="29"/>
      <c r="D42" s="174"/>
      <c r="F42" s="6"/>
      <c r="G42" s="91"/>
      <c r="H42" s="91"/>
      <c r="I42" s="91"/>
      <c r="J42" s="91"/>
      <c r="K42" s="91"/>
      <c r="L42" s="91"/>
      <c r="M42" s="91"/>
      <c r="N42" s="91"/>
      <c r="O42" s="53"/>
      <c r="P42" s="54"/>
      <c r="Q42" s="88"/>
      <c r="R42" s="53"/>
      <c r="S42" s="54"/>
      <c r="T42" s="88"/>
      <c r="U42" s="53"/>
      <c r="V42" s="54"/>
      <c r="W42" s="88"/>
      <c r="X42" s="243"/>
      <c r="Y42" s="244"/>
      <c r="Z42" s="222"/>
      <c r="AA42" s="88"/>
      <c r="AB42" s="88"/>
      <c r="AC42" s="88"/>
      <c r="AD42" s="88"/>
      <c r="AE42" s="88"/>
      <c r="AF42" s="88"/>
      <c r="AG42" s="88"/>
      <c r="AH42" s="88"/>
      <c r="AI42" s="88"/>
      <c r="AJ42" s="222"/>
      <c r="AK42" s="222"/>
      <c r="AL42" s="222"/>
      <c r="AM42" s="88"/>
      <c r="AN42" s="222"/>
      <c r="AO42" s="222"/>
      <c r="AP42" s="222"/>
      <c r="AQ42" s="88"/>
      <c r="AR42" s="88"/>
      <c r="AS42" s="88"/>
      <c r="AT42" s="88"/>
      <c r="AU42" s="88"/>
      <c r="AV42" s="88"/>
      <c r="AW42" s="222"/>
      <c r="AX42" s="222"/>
      <c r="AY42" s="222"/>
      <c r="AZ42" s="222"/>
      <c r="BA42" s="222"/>
      <c r="BB42" s="222"/>
      <c r="BC42" s="222"/>
      <c r="BD42" s="222"/>
      <c r="BE42" s="222"/>
      <c r="BF42" s="158"/>
      <c r="BG42" s="72"/>
      <c r="BH42" s="72"/>
      <c r="BI42" s="276"/>
      <c r="BJ42" s="276"/>
      <c r="BK42" s="276"/>
      <c r="BL42" s="368"/>
    </row>
    <row r="43" spans="1:64" ht="18.75" customHeight="1" thickBot="1">
      <c r="A43" s="467" t="s">
        <v>100</v>
      </c>
      <c r="B43" s="468"/>
      <c r="C43" s="36">
        <v>2745268.12</v>
      </c>
      <c r="D43" s="175"/>
      <c r="E43" s="36"/>
      <c r="F43" s="122">
        <f aca="true" t="shared" si="69" ref="F43:AL43">F46+F37</f>
        <v>5645000</v>
      </c>
      <c r="G43" s="111">
        <f t="shared" si="69"/>
        <v>976000</v>
      </c>
      <c r="H43" s="111">
        <f t="shared" si="69"/>
        <v>974000</v>
      </c>
      <c r="I43" s="111">
        <f t="shared" si="69"/>
        <v>650000</v>
      </c>
      <c r="J43" s="111">
        <f t="shared" si="69"/>
        <v>2600000</v>
      </c>
      <c r="K43" s="111">
        <f t="shared" si="69"/>
        <v>3045000</v>
      </c>
      <c r="L43" s="111">
        <f t="shared" si="69"/>
        <v>955000</v>
      </c>
      <c r="M43" s="111">
        <f t="shared" si="69"/>
        <v>954000</v>
      </c>
      <c r="N43" s="111">
        <f t="shared" si="69"/>
        <v>1136000</v>
      </c>
      <c r="O43" s="111">
        <f t="shared" si="69"/>
        <v>1075463.47</v>
      </c>
      <c r="P43" s="111">
        <f t="shared" si="69"/>
        <v>316089.05</v>
      </c>
      <c r="Q43" s="111">
        <f t="shared" si="69"/>
        <v>1362952.81</v>
      </c>
      <c r="R43" s="111">
        <f t="shared" si="69"/>
        <v>906929.2499999999</v>
      </c>
      <c r="S43" s="111">
        <f t="shared" si="69"/>
        <v>396069.04999999993</v>
      </c>
      <c r="T43" s="111">
        <f t="shared" si="69"/>
        <v>633714.64</v>
      </c>
      <c r="U43" s="111">
        <f t="shared" si="69"/>
        <v>955413.06</v>
      </c>
      <c r="V43" s="111">
        <f t="shared" si="69"/>
        <v>904386.6899999998</v>
      </c>
      <c r="W43" s="111">
        <f t="shared" si="69"/>
        <v>1340922.1000000003</v>
      </c>
      <c r="X43" s="122">
        <f t="shared" si="69"/>
        <v>2937805.7800000003</v>
      </c>
      <c r="Y43" s="122">
        <f t="shared" si="69"/>
        <v>1616544.7899999996</v>
      </c>
      <c r="Z43" s="122">
        <f t="shared" si="69"/>
        <v>3337589.55</v>
      </c>
      <c r="AA43" s="111">
        <f t="shared" si="69"/>
        <v>882274.8400000001</v>
      </c>
      <c r="AB43" s="111">
        <f t="shared" si="69"/>
        <v>1592698.5200000003</v>
      </c>
      <c r="AC43" s="111">
        <f t="shared" si="69"/>
        <v>401535.83</v>
      </c>
      <c r="AD43" s="111">
        <f t="shared" si="69"/>
        <v>1328099.2600000002</v>
      </c>
      <c r="AE43" s="111">
        <f t="shared" si="69"/>
        <v>1838542.8200000003</v>
      </c>
      <c r="AF43" s="111">
        <f t="shared" si="69"/>
        <v>559768.42</v>
      </c>
      <c r="AG43" s="111">
        <f t="shared" si="69"/>
        <v>951273.2</v>
      </c>
      <c r="AH43" s="111">
        <f t="shared" si="69"/>
        <v>396679.98</v>
      </c>
      <c r="AI43" s="111">
        <f t="shared" si="69"/>
        <v>894719.6799999999</v>
      </c>
      <c r="AJ43" s="111">
        <f t="shared" si="69"/>
        <v>3161647.3</v>
      </c>
      <c r="AK43" s="111">
        <f t="shared" si="69"/>
        <v>3827921.3199999994</v>
      </c>
      <c r="AL43" s="111">
        <f t="shared" si="69"/>
        <v>1856023.93</v>
      </c>
      <c r="AM43" s="111"/>
      <c r="AN43" s="122">
        <f aca="true" t="shared" si="70" ref="AN43:BB43">AN46+AN37</f>
        <v>6099453.08</v>
      </c>
      <c r="AO43" s="122">
        <f t="shared" si="70"/>
        <v>5444466.1099999985</v>
      </c>
      <c r="AP43" s="122">
        <f t="shared" si="70"/>
        <v>5193613.48</v>
      </c>
      <c r="AQ43" s="111">
        <f t="shared" si="70"/>
        <v>0</v>
      </c>
      <c r="AR43" s="111">
        <f t="shared" si="70"/>
        <v>0</v>
      </c>
      <c r="AS43" s="111">
        <f t="shared" si="70"/>
        <v>0</v>
      </c>
      <c r="AT43" s="111">
        <f t="shared" si="70"/>
        <v>0</v>
      </c>
      <c r="AU43" s="40">
        <f t="shared" si="70"/>
        <v>0</v>
      </c>
      <c r="AV43" s="40">
        <f t="shared" si="70"/>
        <v>0</v>
      </c>
      <c r="AW43" s="428">
        <f t="shared" si="70"/>
        <v>0</v>
      </c>
      <c r="AX43" s="428">
        <f t="shared" si="70"/>
        <v>0</v>
      </c>
      <c r="AY43" s="428">
        <f t="shared" si="70"/>
        <v>0</v>
      </c>
      <c r="AZ43" s="428">
        <f t="shared" si="70"/>
        <v>0</v>
      </c>
      <c r="BA43" s="428">
        <f t="shared" si="70"/>
        <v>0</v>
      </c>
      <c r="BB43" s="122">
        <f t="shared" si="70"/>
        <v>0</v>
      </c>
      <c r="BC43" s="122">
        <f>BC5+BC9+BC11+BC21+BC23+BC33+BC35</f>
        <v>9486943.08</v>
      </c>
      <c r="BD43" s="122">
        <f>BD5+BD9+BD11+BD21+BD23+BD33+BD35</f>
        <v>9335929.050000003</v>
      </c>
      <c r="BE43" s="122">
        <f>BE5+BE9+BE11+BE21+BE23+BE33+BE35</f>
        <v>8913399.22</v>
      </c>
      <c r="BF43" s="331"/>
      <c r="BG43" s="277">
        <f aca="true" t="shared" si="71" ref="BG43:BL43">BG46+BG37</f>
        <v>2090960.9500000007</v>
      </c>
      <c r="BH43" s="278">
        <f t="shared" si="71"/>
        <v>0</v>
      </c>
      <c r="BI43" s="277">
        <f t="shared" si="71"/>
        <v>-200533.89000000036</v>
      </c>
      <c r="BJ43" s="277">
        <f t="shared" si="71"/>
        <v>1119453.3644444444</v>
      </c>
      <c r="BK43" s="277">
        <f t="shared" si="71"/>
        <v>3560580</v>
      </c>
      <c r="BL43" s="364">
        <f t="shared" si="71"/>
        <v>11426890</v>
      </c>
    </row>
    <row r="44" spans="1:64" ht="18" customHeight="1" thickBot="1">
      <c r="A44" s="64" t="s">
        <v>40</v>
      </c>
      <c r="B44" s="65" t="s">
        <v>52</v>
      </c>
      <c r="C44" s="37">
        <v>0</v>
      </c>
      <c r="D44" s="176"/>
      <c r="E44" s="37"/>
      <c r="F44" s="123">
        <f aca="true" t="shared" si="72" ref="F44:AL44">F6+F8+F12+F17+F22+F24+F25+F27+F28+F34</f>
        <v>20515000</v>
      </c>
      <c r="G44" s="112">
        <f t="shared" si="72"/>
        <v>3273000</v>
      </c>
      <c r="H44" s="112">
        <f t="shared" si="72"/>
        <v>3271000</v>
      </c>
      <c r="I44" s="112">
        <f t="shared" si="72"/>
        <v>3271000</v>
      </c>
      <c r="J44" s="112">
        <f t="shared" si="72"/>
        <v>10209000</v>
      </c>
      <c r="K44" s="112">
        <f t="shared" si="72"/>
        <v>10306000</v>
      </c>
      <c r="L44" s="112">
        <f t="shared" si="72"/>
        <v>3600000</v>
      </c>
      <c r="M44" s="112">
        <f t="shared" si="72"/>
        <v>3600000</v>
      </c>
      <c r="N44" s="112">
        <f t="shared" si="72"/>
        <v>3106000</v>
      </c>
      <c r="O44" s="112">
        <f t="shared" si="72"/>
        <v>3147237.5399999996</v>
      </c>
      <c r="P44" s="112">
        <f t="shared" si="72"/>
        <v>0</v>
      </c>
      <c r="Q44" s="112">
        <f t="shared" si="72"/>
        <v>0</v>
      </c>
      <c r="R44" s="112">
        <f t="shared" si="72"/>
        <v>3521473.7900000005</v>
      </c>
      <c r="S44" s="112">
        <f t="shared" si="72"/>
        <v>0</v>
      </c>
      <c r="T44" s="112">
        <f t="shared" si="72"/>
        <v>0</v>
      </c>
      <c r="U44" s="112">
        <f t="shared" si="72"/>
        <v>3539268.5899999994</v>
      </c>
      <c r="V44" s="112">
        <f t="shared" si="72"/>
        <v>0</v>
      </c>
      <c r="W44" s="112">
        <f t="shared" si="72"/>
        <v>0</v>
      </c>
      <c r="X44" s="123">
        <f t="shared" si="72"/>
        <v>10207979.92</v>
      </c>
      <c r="Y44" s="123">
        <f t="shared" si="72"/>
        <v>0</v>
      </c>
      <c r="Z44" s="123">
        <f t="shared" si="72"/>
        <v>0</v>
      </c>
      <c r="AA44" s="112">
        <f t="shared" si="72"/>
        <v>3415966.58</v>
      </c>
      <c r="AB44" s="112">
        <f t="shared" si="72"/>
        <v>0</v>
      </c>
      <c r="AC44" s="112">
        <f t="shared" si="72"/>
        <v>0</v>
      </c>
      <c r="AD44" s="112">
        <f t="shared" si="72"/>
        <v>3889626.7500000005</v>
      </c>
      <c r="AE44" s="112">
        <f t="shared" si="72"/>
        <v>0</v>
      </c>
      <c r="AF44" s="112">
        <f t="shared" si="72"/>
        <v>0</v>
      </c>
      <c r="AG44" s="112">
        <f t="shared" si="72"/>
        <v>3613619.87</v>
      </c>
      <c r="AH44" s="112">
        <f t="shared" si="72"/>
        <v>0</v>
      </c>
      <c r="AI44" s="112">
        <f t="shared" si="72"/>
        <v>0</v>
      </c>
      <c r="AJ44" s="112">
        <f t="shared" si="72"/>
        <v>10919213.2</v>
      </c>
      <c r="AK44" s="112">
        <f t="shared" si="72"/>
        <v>0</v>
      </c>
      <c r="AL44" s="112">
        <f t="shared" si="72"/>
        <v>0</v>
      </c>
      <c r="AM44" s="112"/>
      <c r="AN44" s="123">
        <f aca="true" t="shared" si="73" ref="AN44:BE44">AN6+AN8+AN12+AN17+AN22+AN24+AN25+AN27+AN28+AN34</f>
        <v>21519448.12</v>
      </c>
      <c r="AO44" s="123">
        <f t="shared" si="73"/>
        <v>0</v>
      </c>
      <c r="AP44" s="123">
        <f t="shared" si="73"/>
        <v>0</v>
      </c>
      <c r="AQ44" s="112">
        <f t="shared" si="73"/>
        <v>3677657.14</v>
      </c>
      <c r="AR44" s="112">
        <f t="shared" si="73"/>
        <v>0</v>
      </c>
      <c r="AS44" s="112">
        <f t="shared" si="73"/>
        <v>0</v>
      </c>
      <c r="AT44" s="112">
        <f t="shared" si="73"/>
        <v>3756647.5599999996</v>
      </c>
      <c r="AU44" s="41">
        <f t="shared" si="73"/>
        <v>0</v>
      </c>
      <c r="AV44" s="41">
        <f t="shared" si="73"/>
        <v>0</v>
      </c>
      <c r="AW44" s="429">
        <f t="shared" si="73"/>
        <v>3778365.79</v>
      </c>
      <c r="AX44" s="429">
        <f t="shared" si="73"/>
        <v>0</v>
      </c>
      <c r="AY44" s="429">
        <f t="shared" si="73"/>
        <v>0</v>
      </c>
      <c r="AZ44" s="429">
        <f t="shared" si="73"/>
        <v>11212670.49</v>
      </c>
      <c r="BA44" s="429">
        <f t="shared" si="73"/>
        <v>0</v>
      </c>
      <c r="BB44" s="123">
        <f t="shared" si="73"/>
        <v>0</v>
      </c>
      <c r="BC44" s="123">
        <f t="shared" si="73"/>
        <v>32732118.610000003</v>
      </c>
      <c r="BD44" s="123">
        <f t="shared" si="73"/>
        <v>0</v>
      </c>
      <c r="BE44" s="123">
        <f t="shared" si="73"/>
        <v>0</v>
      </c>
      <c r="BF44" s="332"/>
      <c r="BG44" s="279">
        <f aca="true" t="shared" si="74" ref="BG44:BL44">BG6+BG8+BG12+BG17+BG22+BG24+BG25+BG27+BG28+BG34</f>
        <v>0</v>
      </c>
      <c r="BH44" s="280">
        <f t="shared" si="74"/>
        <v>3363972.7899999996</v>
      </c>
      <c r="BI44" s="279">
        <f t="shared" si="74"/>
        <v>1004448.1199999994</v>
      </c>
      <c r="BJ44" s="361">
        <f t="shared" si="74"/>
        <v>3636902.067777777</v>
      </c>
      <c r="BK44" s="279">
        <f t="shared" si="74"/>
        <v>12794480</v>
      </c>
      <c r="BL44" s="365">
        <f t="shared" si="74"/>
        <v>36506380</v>
      </c>
    </row>
    <row r="45" spans="1:64" s="25" customFormat="1" ht="13.5" customHeight="1" thickBot="1">
      <c r="A45" s="24"/>
      <c r="B45" s="14"/>
      <c r="C45" s="38"/>
      <c r="D45" s="177"/>
      <c r="E45" s="38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399"/>
      <c r="AR45" s="399"/>
      <c r="AS45" s="400"/>
      <c r="AT45" s="416"/>
      <c r="AU45" s="430"/>
      <c r="AV45" s="430"/>
      <c r="AW45" s="431"/>
      <c r="AX45" s="431"/>
      <c r="AY45" s="431"/>
      <c r="AZ45" s="431"/>
      <c r="BA45" s="431"/>
      <c r="BB45" s="333"/>
      <c r="BC45" s="333"/>
      <c r="BD45" s="333"/>
      <c r="BE45" s="333"/>
      <c r="BF45" s="254"/>
      <c r="BG45" s="93"/>
      <c r="BH45" s="281"/>
      <c r="BI45" s="93"/>
      <c r="BJ45" s="93"/>
      <c r="BK45" s="93"/>
      <c r="BL45" s="366"/>
    </row>
    <row r="46" spans="1:64" s="9" customFormat="1" ht="18" customHeight="1" hidden="1" thickBot="1">
      <c r="A46" s="459" t="s">
        <v>51</v>
      </c>
      <c r="B46" s="460"/>
      <c r="C46" s="35">
        <v>2745268.12</v>
      </c>
      <c r="D46" s="178"/>
      <c r="E46" s="35"/>
      <c r="F46" s="114">
        <f aca="true" t="shared" si="75" ref="F46:AL46">F5+F9+F11+F21+F23+F33+F35</f>
        <v>5645000</v>
      </c>
      <c r="G46" s="114">
        <f t="shared" si="75"/>
        <v>976000</v>
      </c>
      <c r="H46" s="114">
        <f t="shared" si="75"/>
        <v>974000</v>
      </c>
      <c r="I46" s="114">
        <f t="shared" si="75"/>
        <v>650000</v>
      </c>
      <c r="J46" s="114">
        <f t="shared" si="75"/>
        <v>2600000</v>
      </c>
      <c r="K46" s="114">
        <f t="shared" si="75"/>
        <v>3045000</v>
      </c>
      <c r="L46" s="114">
        <f t="shared" si="75"/>
        <v>955000</v>
      </c>
      <c r="M46" s="114">
        <f t="shared" si="75"/>
        <v>954000</v>
      </c>
      <c r="N46" s="114">
        <f t="shared" si="75"/>
        <v>1136000</v>
      </c>
      <c r="O46" s="114">
        <f t="shared" si="75"/>
        <v>1075463.47</v>
      </c>
      <c r="P46" s="114">
        <f t="shared" si="75"/>
        <v>316089.05</v>
      </c>
      <c r="Q46" s="114">
        <f t="shared" si="75"/>
        <v>1362952.81</v>
      </c>
      <c r="R46" s="114">
        <f t="shared" si="75"/>
        <v>906929.2499999999</v>
      </c>
      <c r="S46" s="114">
        <f t="shared" si="75"/>
        <v>396069.04999999993</v>
      </c>
      <c r="T46" s="114">
        <f t="shared" si="75"/>
        <v>633714.64</v>
      </c>
      <c r="U46" s="114">
        <f t="shared" si="75"/>
        <v>955413.06</v>
      </c>
      <c r="V46" s="114">
        <f t="shared" si="75"/>
        <v>904386.6899999998</v>
      </c>
      <c r="W46" s="114">
        <f t="shared" si="75"/>
        <v>1340922.1000000003</v>
      </c>
      <c r="X46" s="114">
        <f t="shared" si="75"/>
        <v>2937805.7800000003</v>
      </c>
      <c r="Y46" s="114">
        <f t="shared" si="75"/>
        <v>1616544.7899999996</v>
      </c>
      <c r="Z46" s="114">
        <f t="shared" si="75"/>
        <v>3337589.55</v>
      </c>
      <c r="AA46" s="114">
        <f t="shared" si="75"/>
        <v>882274.8400000001</v>
      </c>
      <c r="AB46" s="114">
        <f t="shared" si="75"/>
        <v>1592698.5200000003</v>
      </c>
      <c r="AC46" s="114">
        <f t="shared" si="75"/>
        <v>401535.83</v>
      </c>
      <c r="AD46" s="114">
        <f t="shared" si="75"/>
        <v>1328099.2600000002</v>
      </c>
      <c r="AE46" s="114">
        <f t="shared" si="75"/>
        <v>1838542.8200000003</v>
      </c>
      <c r="AF46" s="114">
        <f t="shared" si="75"/>
        <v>559768.42</v>
      </c>
      <c r="AG46" s="114">
        <f t="shared" si="75"/>
        <v>951273.2</v>
      </c>
      <c r="AH46" s="114">
        <f t="shared" si="75"/>
        <v>396679.98</v>
      </c>
      <c r="AI46" s="114">
        <f t="shared" si="75"/>
        <v>894719.6799999999</v>
      </c>
      <c r="AJ46" s="114">
        <f t="shared" si="75"/>
        <v>3161647.3</v>
      </c>
      <c r="AK46" s="114">
        <f t="shared" si="75"/>
        <v>3827921.3199999994</v>
      </c>
      <c r="AL46" s="114">
        <f t="shared" si="75"/>
        <v>1856023.93</v>
      </c>
      <c r="AM46" s="114"/>
      <c r="AN46" s="114">
        <f>AN5+AN9+AN11+AN21+AN23+AN33+AN35</f>
        <v>6099453.08</v>
      </c>
      <c r="AO46" s="114">
        <f>AO5+AO9+AO11+AO21+AO23+AO33+AO35</f>
        <v>5444466.1099999985</v>
      </c>
      <c r="AP46" s="114">
        <f>AP5+AP9+AP11+AP21+AP23+AP33+AP35</f>
        <v>5193613.48</v>
      </c>
      <c r="AQ46" s="401"/>
      <c r="AR46" s="401"/>
      <c r="AS46" s="401"/>
      <c r="AT46" s="401"/>
      <c r="AU46" s="432"/>
      <c r="AV46" s="432"/>
      <c r="AW46" s="433"/>
      <c r="AX46" s="433"/>
      <c r="AY46" s="433"/>
      <c r="AZ46" s="433"/>
      <c r="BA46" s="433"/>
      <c r="BB46" s="327"/>
      <c r="BC46" s="327"/>
      <c r="BD46" s="327"/>
      <c r="BE46" s="327"/>
      <c r="BF46" s="114"/>
      <c r="BG46" s="94">
        <f aca="true" t="shared" si="76" ref="BG46:BL46">BG5+BG9+BG11+BG21+BG23+BG33+BG35</f>
        <v>2090960.9500000007</v>
      </c>
      <c r="BH46" s="282">
        <f t="shared" si="76"/>
        <v>0</v>
      </c>
      <c r="BI46" s="94">
        <f t="shared" si="76"/>
        <v>-200533.89000000036</v>
      </c>
      <c r="BJ46" s="94">
        <f t="shared" si="76"/>
        <v>1119453.3644444444</v>
      </c>
      <c r="BK46" s="94">
        <f t="shared" si="76"/>
        <v>3560580</v>
      </c>
      <c r="BL46" s="367">
        <f t="shared" si="76"/>
        <v>11426890</v>
      </c>
    </row>
    <row r="47" spans="1:64" s="17" customFormat="1" ht="23.25" customHeight="1" thickBot="1">
      <c r="A47" s="482" t="s">
        <v>108</v>
      </c>
      <c r="B47" s="482"/>
      <c r="C47" s="482"/>
      <c r="D47" s="179"/>
      <c r="E47" s="87"/>
      <c r="F47" s="115"/>
      <c r="G47" s="115"/>
      <c r="H47" s="115"/>
      <c r="I47" s="115"/>
      <c r="J47" s="115"/>
      <c r="K47" s="115"/>
      <c r="L47" s="115"/>
      <c r="M47" s="115"/>
      <c r="N47" s="115"/>
      <c r="O47" s="30"/>
      <c r="P47" s="30"/>
      <c r="Q47" s="30"/>
      <c r="R47" s="30"/>
      <c r="S47" s="30"/>
      <c r="T47" s="30"/>
      <c r="U47" s="30"/>
      <c r="V47" s="30"/>
      <c r="W47" s="30"/>
      <c r="X47" s="31"/>
      <c r="Y47" s="31"/>
      <c r="Z47" s="31"/>
      <c r="AA47" s="30"/>
      <c r="AB47" s="30"/>
      <c r="AC47" s="30"/>
      <c r="AD47" s="30"/>
      <c r="AE47" s="30"/>
      <c r="AF47" s="30"/>
      <c r="AG47" s="30"/>
      <c r="AH47" s="30"/>
      <c r="AI47" s="30"/>
      <c r="AJ47" s="31"/>
      <c r="AK47" s="31"/>
      <c r="AL47" s="31"/>
      <c r="AN47" s="84"/>
      <c r="AO47" s="84"/>
      <c r="AP47" s="84"/>
      <c r="AQ47" s="402"/>
      <c r="AR47" s="402"/>
      <c r="AS47" s="402"/>
      <c r="AT47" s="402"/>
      <c r="AU47" s="434"/>
      <c r="AV47" s="434"/>
      <c r="AW47" s="31"/>
      <c r="AX47" s="31"/>
      <c r="AY47" s="31"/>
      <c r="AZ47" s="31"/>
      <c r="BA47" s="31"/>
      <c r="BB47" s="84"/>
      <c r="BC47" s="84"/>
      <c r="BD47" s="84"/>
      <c r="BE47" s="84"/>
      <c r="BF47" s="159"/>
      <c r="BG47" s="79"/>
      <c r="BH47" s="79"/>
      <c r="BI47" s="324" t="s">
        <v>98</v>
      </c>
      <c r="BJ47" s="325"/>
      <c r="BK47" s="326">
        <f>BK46+BK44+BK3</f>
        <v>16646950</v>
      </c>
      <c r="BL47" s="326">
        <f>BL46+BL44+BL3</f>
        <v>48225160</v>
      </c>
    </row>
    <row r="48" ht="13.5" thickBot="1">
      <c r="BE48" s="85">
        <v>43752</v>
      </c>
    </row>
    <row r="49" spans="60:64" ht="13.5" thickBot="1">
      <c r="BH49" s="478" t="s">
        <v>110</v>
      </c>
      <c r="BI49" s="479"/>
      <c r="BJ49" s="479"/>
      <c r="BK49" s="479"/>
      <c r="BL49" s="417">
        <f>BL10+BL40</f>
        <v>46344750</v>
      </c>
    </row>
  </sheetData>
  <sheetProtection/>
  <mergeCells count="25">
    <mergeCell ref="A1:BC1"/>
    <mergeCell ref="A46:B46"/>
    <mergeCell ref="A35:B35"/>
    <mergeCell ref="A36:B36"/>
    <mergeCell ref="A39:B39"/>
    <mergeCell ref="A43:B43"/>
    <mergeCell ref="A37:B37"/>
    <mergeCell ref="A38:B38"/>
    <mergeCell ref="A18:B18"/>
    <mergeCell ref="A19:A20"/>
    <mergeCell ref="A21:B21"/>
    <mergeCell ref="A22:A28"/>
    <mergeCell ref="A29:B29"/>
    <mergeCell ref="A30:A32"/>
    <mergeCell ref="A33:B33"/>
    <mergeCell ref="A34:B34"/>
    <mergeCell ref="BH49:BK49"/>
    <mergeCell ref="AP3:AS3"/>
    <mergeCell ref="A47:C47"/>
    <mergeCell ref="A11:A12"/>
    <mergeCell ref="A14:A16"/>
    <mergeCell ref="A5:A6"/>
    <mergeCell ref="A7:B7"/>
    <mergeCell ref="A10:B10"/>
    <mergeCell ref="A3:Q3"/>
  </mergeCells>
  <printOptions/>
  <pageMargins left="0.16" right="0.16" top="0.24" bottom="0.23" header="0.2" footer="0.2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2019-11-04T09:46:13Z</cp:lastPrinted>
  <dcterms:created xsi:type="dcterms:W3CDTF">2011-03-01T10:10:47Z</dcterms:created>
  <dcterms:modified xsi:type="dcterms:W3CDTF">2019-11-15T08:53:37Z</dcterms:modified>
  <cp:category/>
  <cp:version/>
  <cp:contentType/>
  <cp:contentStatus/>
</cp:coreProperties>
</file>